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Dokumentumok\2022. évi költségvetés\Önkormányzat\"/>
    </mc:Choice>
  </mc:AlternateContent>
  <bookViews>
    <workbookView xWindow="0" yWindow="0" windowWidth="28800" windowHeight="12330" activeTab="2"/>
  </bookViews>
  <sheets>
    <sheet name="Bevételek" sheetId="1" r:id="rId1"/>
    <sheet name="Kiadások" sheetId="2" state="hidden" r:id="rId2"/>
    <sheet name="Kiadások emelt összeggel" sheetId="4" r:id="rId3"/>
    <sheet name="Működés-felhalmozás" sheetId="3" state="hidden" r:id="rId4"/>
    <sheet name="Működés-felhalmozás emelt" sheetId="5" r:id="rId5"/>
  </sheets>
  <definedNames>
    <definedName name="_xlnm.Print_Titles" localSheetId="0">Bevételek!$1:$2</definedName>
    <definedName name="_xlnm.Print_Titles" localSheetId="1">Kiadások!$1:$4</definedName>
    <definedName name="_xlnm.Print_Area" localSheetId="2">'Kiadások emelt összeggel'!$A$1:$B$233</definedName>
  </definedNames>
  <calcPr calcId="162913"/>
</workbook>
</file>

<file path=xl/calcChain.xml><?xml version="1.0" encoding="utf-8"?>
<calcChain xmlns="http://schemas.openxmlformats.org/spreadsheetml/2006/main">
  <c r="B222" i="4" l="1"/>
  <c r="B213" i="4"/>
  <c r="H8" i="5" l="1"/>
  <c r="B60" i="1"/>
  <c r="B39" i="1"/>
  <c r="H13" i="5"/>
  <c r="C9" i="5"/>
  <c r="H7" i="5"/>
  <c r="H6" i="5"/>
  <c r="H4" i="5"/>
  <c r="B227" i="4"/>
  <c r="C11" i="5" s="1"/>
  <c r="F15" i="4"/>
  <c r="F11" i="4"/>
  <c r="F9" i="4"/>
  <c r="F8" i="4"/>
  <c r="B16" i="4"/>
  <c r="B37" i="4" l="1"/>
  <c r="B17" i="4" l="1"/>
  <c r="B21" i="1" l="1"/>
  <c r="B12" i="1"/>
  <c r="B9" i="1"/>
  <c r="B5" i="1"/>
  <c r="B6" i="1"/>
  <c r="B3" i="1"/>
  <c r="B194" i="4" l="1"/>
  <c r="B215" i="4" l="1"/>
  <c r="B62" i="1"/>
  <c r="B65" i="1" s="1"/>
  <c r="B181" i="4" l="1"/>
  <c r="B180" i="4"/>
  <c r="B147" i="4"/>
  <c r="B38" i="4"/>
  <c r="B36" i="4"/>
  <c r="B143" i="4"/>
  <c r="B137" i="4"/>
  <c r="B92" i="4"/>
  <c r="B52" i="4" l="1"/>
  <c r="B86" i="4"/>
  <c r="B83" i="4"/>
  <c r="B81" i="4"/>
  <c r="B80" i="4"/>
  <c r="B53" i="4"/>
  <c r="B39" i="4"/>
  <c r="B56" i="4" s="1"/>
  <c r="B31" i="4"/>
  <c r="B28" i="4" s="1"/>
  <c r="B58" i="4" s="1"/>
  <c r="B26" i="4"/>
  <c r="B19" i="4"/>
  <c r="B13" i="4"/>
  <c r="B12" i="4"/>
  <c r="B11" i="4"/>
  <c r="B10" i="4"/>
  <c r="B7" i="4"/>
  <c r="B6" i="4"/>
  <c r="B55" i="4" s="1"/>
  <c r="B49" i="1"/>
  <c r="B47" i="1"/>
  <c r="B7" i="1"/>
  <c r="B52" i="2" l="1"/>
  <c r="B19" i="2"/>
  <c r="B5" i="4" l="1"/>
  <c r="B6" i="2"/>
  <c r="B229" i="4" l="1"/>
  <c r="C13" i="5" s="1"/>
  <c r="B197" i="4"/>
  <c r="B192" i="4"/>
  <c r="B173" i="4"/>
  <c r="B188" i="4" s="1"/>
  <c r="C7" i="5" s="1"/>
  <c r="B169" i="4"/>
  <c r="B165" i="4" s="1"/>
  <c r="B139" i="4"/>
  <c r="B135" i="4"/>
  <c r="B127" i="4"/>
  <c r="B126" i="4" s="1"/>
  <c r="B123" i="4"/>
  <c r="B111" i="4"/>
  <c r="B103" i="4"/>
  <c r="B79" i="4"/>
  <c r="B76" i="4"/>
  <c r="B68" i="4"/>
  <c r="B41" i="4"/>
  <c r="B60" i="4" s="1"/>
  <c r="H8" i="3"/>
  <c r="H3" i="3"/>
  <c r="H15" i="3" s="1"/>
  <c r="B202" i="2"/>
  <c r="B196" i="2"/>
  <c r="B207" i="2" s="1"/>
  <c r="B91" i="4" l="1"/>
  <c r="B54" i="4"/>
  <c r="B35" i="4"/>
  <c r="B203" i="4"/>
  <c r="C8" i="5" s="1"/>
  <c r="B77" i="4"/>
  <c r="B75" i="4" s="1"/>
  <c r="B15" i="4"/>
  <c r="B51" i="4" s="1"/>
  <c r="B142" i="4"/>
  <c r="B9" i="4"/>
  <c r="B134" i="4"/>
  <c r="B57" i="2"/>
  <c r="B55" i="2"/>
  <c r="B54" i="2"/>
  <c r="B53" i="2"/>
  <c r="B51" i="2"/>
  <c r="B70" i="2"/>
  <c r="B42" i="2"/>
  <c r="B25" i="4" l="1"/>
  <c r="B24" i="4" s="1"/>
  <c r="B23" i="4" s="1"/>
  <c r="B50" i="4"/>
  <c r="B49" i="4" s="1"/>
  <c r="B62" i="4" s="1"/>
  <c r="C5" i="5" s="1"/>
  <c r="B4" i="4"/>
  <c r="B171" i="4"/>
  <c r="B29" i="2"/>
  <c r="C6" i="5" l="1"/>
  <c r="B46" i="4"/>
  <c r="B208" i="4" s="1"/>
  <c r="B151" i="2"/>
  <c r="B116" i="2"/>
  <c r="B108" i="2"/>
  <c r="B98" i="2"/>
  <c r="B9" i="2"/>
  <c r="B233" i="4" l="1"/>
  <c r="C4" i="5"/>
  <c r="C3" i="5" s="1"/>
  <c r="C15" i="5" s="1"/>
  <c r="B97" i="2"/>
  <c r="B14" i="2"/>
  <c r="B45" i="1" l="1"/>
  <c r="B11" i="1"/>
  <c r="B15" i="1" s="1"/>
  <c r="B189" i="2"/>
  <c r="B178" i="2" s="1"/>
  <c r="B166" i="2"/>
  <c r="B141" i="2" l="1"/>
  <c r="B143" i="2"/>
  <c r="B146" i="2"/>
  <c r="B145" i="2" s="1"/>
  <c r="B139" i="2"/>
  <c r="B138" i="2" s="1"/>
  <c r="B133" i="2"/>
  <c r="B132" i="2" s="1"/>
  <c r="B129" i="2"/>
  <c r="B84" i="2"/>
  <c r="B94" i="2"/>
  <c r="B92" i="2" s="1"/>
  <c r="B91" i="2" s="1"/>
  <c r="B86" i="2"/>
  <c r="B85" i="2"/>
  <c r="B82" i="2"/>
  <c r="B83" i="2"/>
  <c r="B88" i="2"/>
  <c r="B80" i="2"/>
  <c r="B18" i="2"/>
  <c r="B15" i="2"/>
  <c r="B81" i="2" l="1"/>
  <c r="B79" i="2" s="1"/>
  <c r="B39" i="2" l="1"/>
  <c r="B58" i="2" s="1"/>
  <c r="B56" i="2" l="1"/>
  <c r="B50" i="2" s="1"/>
  <c r="B35" i="2"/>
  <c r="B24" i="2"/>
  <c r="B215" i="2" l="1"/>
  <c r="B220" i="2" s="1"/>
  <c r="B17" i="2" l="1"/>
  <c r="B28" i="2" l="1"/>
  <c r="B174" i="2"/>
  <c r="B170" i="2" s="1"/>
  <c r="B176" i="2" s="1"/>
  <c r="C6" i="3" l="1"/>
  <c r="B23" i="2"/>
  <c r="B60" i="2"/>
  <c r="B34" i="1"/>
  <c r="B29" i="1"/>
  <c r="H3" i="5" s="1"/>
  <c r="H15" i="5" s="1"/>
  <c r="B62" i="2"/>
  <c r="B64" i="2" l="1"/>
  <c r="B192" i="2"/>
  <c r="B11" i="2" l="1"/>
  <c r="B5" i="2" s="1"/>
  <c r="B48" i="1"/>
  <c r="B43" i="1"/>
  <c r="B42" i="1" l="1"/>
  <c r="B71" i="1" l="1"/>
  <c r="B47" i="2"/>
  <c r="B222" i="2"/>
  <c r="C13" i="3" s="1"/>
  <c r="B210" i="2" l="1"/>
  <c r="C4" i="3"/>
  <c r="C3" i="3" s="1"/>
  <c r="B225" i="2"/>
  <c r="C15" i="3"/>
</calcChain>
</file>

<file path=xl/sharedStrings.xml><?xml version="1.0" encoding="utf-8"?>
<sst xmlns="http://schemas.openxmlformats.org/spreadsheetml/2006/main" count="480" uniqueCount="301">
  <si>
    <t>Eredeti előirányzat</t>
  </si>
  <si>
    <t>Megnevezés</t>
  </si>
  <si>
    <t>A helyi önkormányzatok működésének általános támogatása</t>
  </si>
  <si>
    <t>Óvodapedagógusok és a nevelő munkát segítők bértámogatása</t>
  </si>
  <si>
    <t>Óvodaműködtetési támogatás</t>
  </si>
  <si>
    <t>Köznevelési feladatok támogatása</t>
  </si>
  <si>
    <t>Könyvtári, közművelődési és múzeumi feladatok támogatása</t>
  </si>
  <si>
    <t>Működési célú támogatás KNPA-tól</t>
  </si>
  <si>
    <t>Közhatalmi bevételek</t>
  </si>
  <si>
    <t>Helyi iparűzési adó</t>
  </si>
  <si>
    <t>Működési bevételek</t>
  </si>
  <si>
    <t>Gunarasi üdülő bérleti díja</t>
  </si>
  <si>
    <t>Földbérlet</t>
  </si>
  <si>
    <t>Önkormányzati lakások lakbérbevétele</t>
  </si>
  <si>
    <t>Apponyi Kúria bérleti díja</t>
  </si>
  <si>
    <t>Konditerem bérleti díja</t>
  </si>
  <si>
    <t>Kamatbevételek</t>
  </si>
  <si>
    <t>Kiszámlázott ÁFA</t>
  </si>
  <si>
    <t>Működési bevételek összesen</t>
  </si>
  <si>
    <t>Felhalmozási célú támogatások</t>
  </si>
  <si>
    <t>Magánszemélyek kommunális adója (145×3 000 Ft)</t>
  </si>
  <si>
    <t>Felhalmozási bevételek összesen</t>
  </si>
  <si>
    <t>Pótlék</t>
  </si>
  <si>
    <t>Kossuth u. 4. (12×30 208 Ft)</t>
  </si>
  <si>
    <t>Dózsa u. 26. (12×3 600 Ft)</t>
  </si>
  <si>
    <t>Működési célú támogatás Munkaerőpiaci Alaptól</t>
  </si>
  <si>
    <t>Állami támogatás összesen</t>
  </si>
  <si>
    <t>Bevételek összesen</t>
  </si>
  <si>
    <t>Rendszeres személyi juttatások</t>
  </si>
  <si>
    <t>Önkormányzat (011130)</t>
  </si>
  <si>
    <t>Községgazdálkodás (066020)</t>
  </si>
  <si>
    <t>Közfoglalkoztatás (041233)</t>
  </si>
  <si>
    <t>Nem rendszeres személyi juttatások</t>
  </si>
  <si>
    <t>Jutalom</t>
  </si>
  <si>
    <t>Külső személyi juttatások</t>
  </si>
  <si>
    <t>Személyi juttatások összesen</t>
  </si>
  <si>
    <t>Járulékok</t>
  </si>
  <si>
    <t>Művelődési Ház (082092)</t>
  </si>
  <si>
    <t>Gunaras (081071)</t>
  </si>
  <si>
    <t>Apponyi Kúria (081071)</t>
  </si>
  <si>
    <t>Dologi kiadások</t>
  </si>
  <si>
    <t>Reprezentáció</t>
  </si>
  <si>
    <t>Hivatal (066020)</t>
  </si>
  <si>
    <t>közvilágítás (064010)</t>
  </si>
  <si>
    <t>orvosi rendelő (072111)</t>
  </si>
  <si>
    <t>sportöltöző (081030)</t>
  </si>
  <si>
    <t>közművelődés (Közösségi Ház, Művelődési Ház, Tájház, Teleház)</t>
  </si>
  <si>
    <t>Gázdíj</t>
  </si>
  <si>
    <t>hivatal (066020)</t>
  </si>
  <si>
    <t>köztemető (013320)</t>
  </si>
  <si>
    <t>konditerem (081030)</t>
  </si>
  <si>
    <t>Karbantartási, kisjavítási szolgáltatások</t>
  </si>
  <si>
    <t>közművelődés (Közösségi Ház, Művelődési Ház, Tájház, Teleház) (082092)</t>
  </si>
  <si>
    <t>Szakmai tevékenységet segítő szolgáltatások</t>
  </si>
  <si>
    <t>egyéb esedékes díjak (műszaki ellenőrzés, ügyvédi munkadíj)</t>
  </si>
  <si>
    <t>Szállítási költség</t>
  </si>
  <si>
    <t>Bankköltség (066020)</t>
  </si>
  <si>
    <t>Egyéb szolgáltatások</t>
  </si>
  <si>
    <t>meteorológiai adatok letöltése (066020)</t>
  </si>
  <si>
    <t>nyomtatás díja (066020)</t>
  </si>
  <si>
    <t>vagyonvédelmi ügyeleti díj (081071)</t>
  </si>
  <si>
    <t>Reklám- és propaganda kiadások</t>
  </si>
  <si>
    <t>Fizetendő ÁFA</t>
  </si>
  <si>
    <t>Egyéb dologi kiadások</t>
  </si>
  <si>
    <t>háziorvosi ügyelet (066020)</t>
  </si>
  <si>
    <t>Dologi kiadások összesen:</t>
  </si>
  <si>
    <t>Ellátottak pénzbeli juttatásai</t>
  </si>
  <si>
    <t xml:space="preserve">Beiskolázási támogatás </t>
  </si>
  <si>
    <t>Karácsonyi támogatás</t>
  </si>
  <si>
    <t>Áramdíj támogatás</t>
  </si>
  <si>
    <t>Önkormányzat által folyósított ellátások összesen:</t>
  </si>
  <si>
    <t>Működésre átadott pénzeszközök</t>
  </si>
  <si>
    <t>ÁH-n belül</t>
  </si>
  <si>
    <t>Bátaapáti Óvoda finanszírozása</t>
  </si>
  <si>
    <t>ÁH-n kívül</t>
  </si>
  <si>
    <t>Működésre átadott pénzeszközök összesen:</t>
  </si>
  <si>
    <t>Működési kiadások mindösszesen:</t>
  </si>
  <si>
    <t>Járulékok összesen:</t>
  </si>
  <si>
    <t>Fejlesztési kiadások</t>
  </si>
  <si>
    <t>Beruházási és felújítási kiadások összesen:</t>
  </si>
  <si>
    <t>Első lakáshoz jutók támogatása</t>
  </si>
  <si>
    <t>Felhalmozási kiadások mindösszesen:</t>
  </si>
  <si>
    <t>KIADÁSOK MINDÖSSZESEN:</t>
  </si>
  <si>
    <t>Felhalmozási célú pénzeszköz átadás:</t>
  </si>
  <si>
    <t>Tartalék:</t>
  </si>
  <si>
    <t>közművelődés (082092)</t>
  </si>
  <si>
    <t>Maradvány</t>
  </si>
  <si>
    <t>Szociális étkeztetés</t>
  </si>
  <si>
    <t>Egyéb civil szervezetek</t>
  </si>
  <si>
    <t>KNPA felhalmozási támogatás</t>
  </si>
  <si>
    <t>Gunarasi nyaraló építményadója (44,2 m2×700 Ft)</t>
  </si>
  <si>
    <t>Kultúros (12×17 500 Ft)</t>
  </si>
  <si>
    <t>Apponyi Kúria (12×60 000 Ft)</t>
  </si>
  <si>
    <t>Apponyi Kúria (082092)</t>
  </si>
  <si>
    <t>Bolt (013350)</t>
  </si>
  <si>
    <t>szabályzat készítés</t>
  </si>
  <si>
    <t>lakhatási támogatás</t>
  </si>
  <si>
    <t>Erdei Alapítvány</t>
  </si>
  <si>
    <t>Szolgáltatások ellenértéke (házasságkötés)</t>
  </si>
  <si>
    <t xml:space="preserve">   polgármester</t>
  </si>
  <si>
    <t xml:space="preserve">  képviselők</t>
  </si>
  <si>
    <t>Rendezvények - Augusztus 20 (fellépők, tüzijáték, biztonsági szolgálat, mobil WC) (082092)</t>
  </si>
  <si>
    <t>közfoglalkoztatás járulékai (50%)</t>
  </si>
  <si>
    <t>Működési tartalék</t>
  </si>
  <si>
    <t>Petőfi u. 23. (12x19 975 Ft)</t>
  </si>
  <si>
    <t>Sportöltöző</t>
  </si>
  <si>
    <t>műszaki vizsga, autópálya matrica (066020)</t>
  </si>
  <si>
    <t>Bursa Hungarica (1 fő)</t>
  </si>
  <si>
    <t xml:space="preserve">1 fő karbantartó, sofőr </t>
  </si>
  <si>
    <t xml:space="preserve">1 fő takarító </t>
  </si>
  <si>
    <t>1 fő társadalmi megbízatású polgármester illetménye (12× 149 500 Ft)</t>
  </si>
  <si>
    <t>12×30 000 Ft×4</t>
  </si>
  <si>
    <t>Dózsa u. 6. (12×23 100 Ft)</t>
  </si>
  <si>
    <t>Táppénz hozzájárulás</t>
  </si>
  <si>
    <t>Biztosítási díjak (vagyonbiztosítás) (066020)</t>
  </si>
  <si>
    <t>Élelmiszer csomag</t>
  </si>
  <si>
    <t>Gyógyszertámogatás</t>
  </si>
  <si>
    <t>VÖT tagdíj</t>
  </si>
  <si>
    <t>Kúria (081071)</t>
  </si>
  <si>
    <t>Hivatal  (066020)</t>
  </si>
  <si>
    <t>Sziklakert (066020)</t>
  </si>
  <si>
    <t>községgazdálkodás (066020)</t>
  </si>
  <si>
    <t>Biztosítási díjak (KGFB, casco) (066020)</t>
  </si>
  <si>
    <t>Bonyhádi Közös Önkormányzati Hivatal pénzeszköz átadás</t>
  </si>
  <si>
    <t>1 fő társadalmi megbízatású polgármester költségátalánya (12× 22 425 Ft)</t>
  </si>
  <si>
    <t>1 fő társadalmi megbízatású polgármester (1 hónap ×149 500Ft)</t>
  </si>
  <si>
    <t>Bátaszéki Tűzoltóság</t>
  </si>
  <si>
    <t>2021. évi költségvetés kiadásai</t>
  </si>
  <si>
    <t>1 fő takarító (12×214 500 Ft)(Lagzi Erzsike)</t>
  </si>
  <si>
    <t>1 fő takarító (12×96 600 Ft)(Mónika)</t>
  </si>
  <si>
    <t>1 fő karbantartó, sofőr (12×280 000Ft)(Norbi)</t>
  </si>
  <si>
    <t>5 fő (8órás) (5 fő×2 hó× 81 530Ft)</t>
  </si>
  <si>
    <t>Szakmai anyagok beszerzése</t>
  </si>
  <si>
    <t>Üzemeltetési anyagok beszerzése</t>
  </si>
  <si>
    <t>Tisztítószer</t>
  </si>
  <si>
    <t>Irodaszer</t>
  </si>
  <si>
    <t>Munkaruha, védőruha, maszk</t>
  </si>
  <si>
    <t>Üzemanyag (gj, fűnyírás)</t>
  </si>
  <si>
    <t>Karbantartási anyagok (festék, izzó és egyéb)</t>
  </si>
  <si>
    <t>Kis értékű tárgyi eszközök (informatikai és egyéb)</t>
  </si>
  <si>
    <t>Adventi koszorú és egyéb dekorációs üzemeltetési anyagok</t>
  </si>
  <si>
    <t>Informatikai szolgáltatások igénybevétele</t>
  </si>
  <si>
    <t>Honlap karbantartás (12×10 000 Ft)</t>
  </si>
  <si>
    <t>Telefondíjak</t>
  </si>
  <si>
    <t>Mobilok (12×6.000 Ft)</t>
  </si>
  <si>
    <t>Kúria (12×6.900 Ft)</t>
  </si>
  <si>
    <t>Tachográf adatletöltés</t>
  </si>
  <si>
    <t>Rendszergazdai díj (12×60.000)</t>
  </si>
  <si>
    <t>Vírusírtó licensz</t>
  </si>
  <si>
    <t>Egyéb kommunikációs szolgáltatások igénybevétele</t>
  </si>
  <si>
    <t>Teleház (12×4.500 Ft)</t>
  </si>
  <si>
    <t>Orvosi rendelő (12×5.900 Ft)</t>
  </si>
  <si>
    <t>Kábeltévé</t>
  </si>
  <si>
    <t>Önkormányzat</t>
  </si>
  <si>
    <t>Gunaras (12×1.626Ft)</t>
  </si>
  <si>
    <t>Hivatal (12×6.600 Ft+24.090 Ft)</t>
  </si>
  <si>
    <t>Domain név éves díja</t>
  </si>
  <si>
    <t>Közüzemi díjak</t>
  </si>
  <si>
    <t>Áramdíj</t>
  </si>
  <si>
    <t>Vízdíj</t>
  </si>
  <si>
    <t>Vásárolt élelmezés (szünidei étkezés)</t>
  </si>
  <si>
    <t>Bérleti és lízingdíjak</t>
  </si>
  <si>
    <t xml:space="preserve">közvilágítás oszlopbérleti díja </t>
  </si>
  <si>
    <t>kábeltévé (046020) (12×32.000)</t>
  </si>
  <si>
    <t>ingatlankataszter karbantartása (066020) (4×33.020 Ft)</t>
  </si>
  <si>
    <t>Gunarasi közös költség (081071) (12×7.260 Ft)</t>
  </si>
  <si>
    <t>munka és tűzvédelmi szaktanácsadás (12×12.000Ft)</t>
  </si>
  <si>
    <t>orvosi rendelő (fogorvos,vérvétel) (072111) (12×130.000+300.000)</t>
  </si>
  <si>
    <t xml:space="preserve">hulladékszállítás </t>
  </si>
  <si>
    <t>Foglalkozás eü. Szolg. Díja</t>
  </si>
  <si>
    <t>közegészségügyi kártevőmentesítés</t>
  </si>
  <si>
    <t>Postaköltség (066020) bélyeg és egyéb</t>
  </si>
  <si>
    <t xml:space="preserve">Kiküldetés </t>
  </si>
  <si>
    <t>Működési célú előzetesen felszámított ÁFA (20.000.000 × 25%)</t>
  </si>
  <si>
    <t>tagdíjak</t>
  </si>
  <si>
    <t>Egyéb dologi jellegű, más helyre nem sorolható kiadások (jogdíjak, eljárási díjak)</t>
  </si>
  <si>
    <t>étkezési térítési díj átvállalások (gyerekek+szoc. étkezők)</t>
  </si>
  <si>
    <t>Ösztöndíj támogatás (6 fő)</t>
  </si>
  <si>
    <t>temetési segély (5 fő)</t>
  </si>
  <si>
    <t>Szépkorúak köszöntése</t>
  </si>
  <si>
    <t>Falugondnoki szolgáltatás</t>
  </si>
  <si>
    <t>Egyes szociális és gyermekjóléti és gyermekétkeztetési feladatok támogatása</t>
  </si>
  <si>
    <t>Szociális feladatok támogatása</t>
  </si>
  <si>
    <t>Gyermekétkeztetés támogatása</t>
  </si>
  <si>
    <t>Gyermekétkeztetés bértámogatása</t>
  </si>
  <si>
    <t>Üzemeltetési támogatás</t>
  </si>
  <si>
    <t>Szünidei étkezés támogatása</t>
  </si>
  <si>
    <t>Petőfi u. 3. (12×32.000 Ft)</t>
  </si>
  <si>
    <t>Sírhelybérlet, temető hozzájárulás, ravatalozó használat</t>
  </si>
  <si>
    <t>Gondnok Gunaras (20 alk. × 7 500 Ft)</t>
  </si>
  <si>
    <t>1 fő falugondnok (1×229 254 Ft+10×237.654)(Nelli)</t>
  </si>
  <si>
    <t>Cafeteria után fizetendő adó (15%)</t>
  </si>
  <si>
    <t>Képviselők tiszteletdíja</t>
  </si>
  <si>
    <t>1 fő szakmai tanácsadó (9×150 000 Ft)</t>
  </si>
  <si>
    <t>Cégtelefon, reprezentáció (34,5%)</t>
  </si>
  <si>
    <t>Cafeteria (Bruttó 200.000 Ft)</t>
  </si>
  <si>
    <t xml:space="preserve">közvilágítás </t>
  </si>
  <si>
    <t>,</t>
  </si>
  <si>
    <t>ATM üzemeltetés (066020) (12×50.000+5×50.000- elmaradás 2020-ról)</t>
  </si>
  <si>
    <t>1 fő falugondnok</t>
  </si>
  <si>
    <t>Tatarozási támogatás (ebből 2020-ról elmaradt: 230.000 Ft)</t>
  </si>
  <si>
    <t>születendő gyermekek támogatása (1fő ×200.000+8 fő×60.000)</t>
  </si>
  <si>
    <t>Szociális hozzájárulási adó (15,5%)</t>
  </si>
  <si>
    <t>Feladattal terhelt tartalék</t>
  </si>
  <si>
    <t>Működési kiadások</t>
  </si>
  <si>
    <t>Állami támogatás</t>
  </si>
  <si>
    <t>Felhalmozási bevételek</t>
  </si>
  <si>
    <t>Összes bevétel</t>
  </si>
  <si>
    <t>Egyé működési bevételek</t>
  </si>
  <si>
    <t>Személyi juttatások</t>
  </si>
  <si>
    <t>Lakossági támogatások</t>
  </si>
  <si>
    <t>Felhalmozási kiadások</t>
  </si>
  <si>
    <t>Tartalék</t>
  </si>
  <si>
    <t>Összes kiadás</t>
  </si>
  <si>
    <t>Felhalmozás-működési bevételek megoszlása</t>
  </si>
  <si>
    <t>1. változat</t>
  </si>
  <si>
    <t>9 fő (8órás) (9 fő×10 hó× 85 000Ft)</t>
  </si>
  <si>
    <t>2022. évi költségvetés bevételei</t>
  </si>
  <si>
    <t>közfoglalkoztatás 8 órás (80%) 9 fő 2 hónapig</t>
  </si>
  <si>
    <t>Táncsics u. 15. (12×4 680 Ft)</t>
  </si>
  <si>
    <t>RHK ingatlan bérbeadása 2021. év, 2022. I. félév</t>
  </si>
  <si>
    <t>Művelődési Ház, Közösségi Ház bérleti díja</t>
  </si>
  <si>
    <t>Bérlemények rezsiköltségének befizetése (Táncsics u. 15., Petőfi u. 3.)</t>
  </si>
  <si>
    <t>1 fő társadalmi megbízatású polgármester illetménye (12× 260 000 Ft)</t>
  </si>
  <si>
    <t>1 fő társadalmi megbízatású polgármester költségátalánya (12× 39 000 Ft)</t>
  </si>
  <si>
    <t>1 fő karbantartó, sofőr (12×321 000Ft)(Norbi)</t>
  </si>
  <si>
    <t>1 fő takarító (12×235 000Ft)(Lagzi Erzsike)</t>
  </si>
  <si>
    <t>1 fő falugondnok (12×286 000 Ft)(Nelli)</t>
  </si>
  <si>
    <t>1 fő takarító (12×112 900 Ft)(Mónika)</t>
  </si>
  <si>
    <t>Közművelődési szakember (082092)</t>
  </si>
  <si>
    <t>Községgazdálkodás (60%)</t>
  </si>
  <si>
    <t>Közművelődési szakember (60%)</t>
  </si>
  <si>
    <t>1 fő közművelődési szakember</t>
  </si>
  <si>
    <t>Képviselők tiszteletdíja (12×30 000 Ft×4)</t>
  </si>
  <si>
    <t>Szociális hozzájárulási adó (13%)</t>
  </si>
  <si>
    <t>Cafeteria után fizetendő adó (28%)</t>
  </si>
  <si>
    <t>Cégtelefon, reprezentáció (35,99%)</t>
  </si>
  <si>
    <t>Karbantartási anyagok (festék, izzó, toner és egyéb)</t>
  </si>
  <si>
    <t>Kúria (internet)</t>
  </si>
  <si>
    <t>Telefondíjak, internetdíjak</t>
  </si>
  <si>
    <t>Mobiltelefon</t>
  </si>
  <si>
    <t>Hivatal (telefon,internet)</t>
  </si>
  <si>
    <t>Orvosi rendelő</t>
  </si>
  <si>
    <t>Rendszergazdai díj (12×70.000)</t>
  </si>
  <si>
    <t>Gunaras</t>
  </si>
  <si>
    <t>közművelődés (Közösségi Ház, Művelődési Ház, Tájház, könyvtár) (082092)</t>
  </si>
  <si>
    <t>közművelődés (Közösségi Ház, Művelődési Ház, Tájház) (082092)</t>
  </si>
  <si>
    <t>könyvtár (082044)</t>
  </si>
  <si>
    <t>italbolt, konditerem, bérlakások (013350)</t>
  </si>
  <si>
    <t>konditerem, italbolt, bérlakások</t>
  </si>
  <si>
    <t>autóbuszok karbantartása (gumicsere)</t>
  </si>
  <si>
    <t>óvoda festés</t>
  </si>
  <si>
    <t>Gunarasi közös költség (081071) (12×8000 Ft)</t>
  </si>
  <si>
    <t>Megbízási díj (közművelődés, TETT és egyéb rendezvények koordinálása)</t>
  </si>
  <si>
    <t>Apponyi Kúria (12×66 000 Ft)</t>
  </si>
  <si>
    <t>Kultúros (12×25000 Ft)</t>
  </si>
  <si>
    <t>orvosi rendelő (fogorvos,vérvétel) (072111) (12×130.000+600.000) + eseti fogpótlás (2×60.000 Ft)</t>
  </si>
  <si>
    <t>ATM üzemeltetés (066020) (12×50.000)</t>
  </si>
  <si>
    <t>Működési célú előzetesen felszámított ÁFA</t>
  </si>
  <si>
    <t>Ösztöndíj támogatás (7 fő)</t>
  </si>
  <si>
    <t>Életkezdési támogatás (50.000 Ft/fő+kamat×5 fő)</t>
  </si>
  <si>
    <t>Gyógyszertámogatás, rendkívüli települési támogatás</t>
  </si>
  <si>
    <t>ki nem fizetett támogatás 2021-ről</t>
  </si>
  <si>
    <t>Magyar Falu busz</t>
  </si>
  <si>
    <t>- államháztartáson belüli megelőlegezés</t>
  </si>
  <si>
    <t>Államháztartáson belüli megelőlegezés visszafizetése</t>
  </si>
  <si>
    <t>közfoglalkoztatás 8 órás (70%) 4 fő 10 hónapig</t>
  </si>
  <si>
    <t>Normatíva visszafizetés 2020. évi (ellenőrzés alapján)</t>
  </si>
  <si>
    <t>játszótér tervezési díj (Magyar Falu Program)</t>
  </si>
  <si>
    <t>Óvoda és Iskola karácsonyi támogatása</t>
  </si>
  <si>
    <t>ülésmagasítók buszba (19 db - 7.000/db)</t>
  </si>
  <si>
    <t>Földvásárlás (szándéknyilatkozat alapján)</t>
  </si>
  <si>
    <t>2 db laptop</t>
  </si>
  <si>
    <t>6 db irodaszék</t>
  </si>
  <si>
    <t>5 db vezetékes telefon</t>
  </si>
  <si>
    <t>15 db ügyfélszék</t>
  </si>
  <si>
    <t>Áramdíj támogatás (6 000 Ft/fő)</t>
  </si>
  <si>
    <t>lakhatási támogatás (4 000 Ft/fő)</t>
  </si>
  <si>
    <t>születendő gyermekek támogatása 4 fő ×200.000</t>
  </si>
  <si>
    <t>tagdíjak (kábeltévé, NEFELA, Tolnai Hármas Összefogás)</t>
  </si>
  <si>
    <t>2022. évi költségvetés kiadásai</t>
  </si>
  <si>
    <t>Kiegészítő támogatás a polgármester illetménye és költségtérítése 2022. évi emelésének ellentételezése érdekében</t>
  </si>
  <si>
    <t>4 fő (8órás) (4 fő×10 hó× 100 000Ft)</t>
  </si>
  <si>
    <t>-ebből kötelezettséggel terhelt pénzeszköz</t>
  </si>
  <si>
    <t>Tatarozási támogatás (15 fő×300.000Ft)</t>
  </si>
  <si>
    <t>Kulturális bérfejlesztés támogatása</t>
  </si>
  <si>
    <t>9 fő (8órás) (9 fő×2 hó× 81 530Ft)</t>
  </si>
  <si>
    <t>TETT-ben elszámolható</t>
  </si>
  <si>
    <t xml:space="preserve">bérek </t>
  </si>
  <si>
    <t>Marcsi mb. díja</t>
  </si>
  <si>
    <t>Melinda mb. díja</t>
  </si>
  <si>
    <t>repi</t>
  </si>
  <si>
    <t>járulék</t>
  </si>
  <si>
    <t>dologi kiadások</t>
  </si>
  <si>
    <t>átadott pénzeszköz</t>
  </si>
  <si>
    <t>óvodai bérek</t>
  </si>
  <si>
    <t>összesen:</t>
  </si>
  <si>
    <t>Területalapú támogatás</t>
  </si>
  <si>
    <t>Egyéb működési bevételek</t>
  </si>
  <si>
    <t>Egyéb működési célú kiadások</t>
  </si>
  <si>
    <t>TETT felhalmozás még előreláthatólag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</si>
</sst>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[$Ft-40E]_-;\-* #,##0\ [$Ft-40E]_-;_-* &quot;-&quot;??\ [$Ft-40E]_-;_-@_-"/>
    <numFmt numFmtId="165" formatCode="_-* #,##0\ _F_t_-;\-* #,##0\ _F_t_-;_-* &quot;-&quot;??\ _F_t_-;_-@_-"/>
    <numFmt numFmtId="166" formatCode="_-* #,##0\ &quot;Ft&quot;_-;\-* #,##0\ &quot;Ft&quot;_-;_-* &quot;-&quot;??\ &quot;Ft&quot;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 val="double"/>
      <sz val="14"/>
      <color theme="1"/>
      <name val="Times New Roman"/>
      <family val="1"/>
      <charset val="238"/>
    </font>
    <font>
      <u val="double"/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u val="double"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wrapText="1"/>
    </xf>
    <xf numFmtId="0" fontId="5" fillId="2" borderId="0" xfId="0" applyFont="1" applyFill="1"/>
    <xf numFmtId="164" fontId="5" fillId="2" borderId="0" xfId="0" applyNumberFormat="1" applyFont="1" applyFill="1"/>
    <xf numFmtId="0" fontId="6" fillId="0" borderId="0" xfId="0" applyFont="1"/>
    <xf numFmtId="0" fontId="7" fillId="0" borderId="0" xfId="0" applyFont="1"/>
    <xf numFmtId="0" fontId="5" fillId="2" borderId="0" xfId="0" applyFont="1" applyFill="1" applyAlignment="1"/>
    <xf numFmtId="0" fontId="1" fillId="0" borderId="0" xfId="0" applyFont="1" applyBorder="1" applyAlignment="1"/>
    <xf numFmtId="0" fontId="1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quotePrefix="1" applyFont="1"/>
    <xf numFmtId="0" fontId="5" fillId="0" borderId="0" xfId="0" applyFont="1" applyFill="1"/>
    <xf numFmtId="164" fontId="5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10" fillId="0" borderId="0" xfId="0" applyNumberFormat="1" applyFont="1" applyFill="1" applyBorder="1"/>
    <xf numFmtId="0" fontId="4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1" fillId="3" borderId="0" xfId="0" applyFont="1" applyFill="1" applyAlignment="1">
      <alignment wrapText="1"/>
    </xf>
    <xf numFmtId="0" fontId="1" fillId="0" borderId="0" xfId="0" applyFont="1" applyFill="1" applyAlignment="1">
      <alignment vertical="justify"/>
    </xf>
    <xf numFmtId="0" fontId="1" fillId="0" borderId="0" xfId="0" applyFont="1" applyAlignment="1">
      <alignment vertical="justify"/>
    </xf>
    <xf numFmtId="0" fontId="2" fillId="0" borderId="0" xfId="0" applyFont="1" applyFill="1"/>
    <xf numFmtId="164" fontId="2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quotePrefix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right"/>
    </xf>
    <xf numFmtId="164" fontId="10" fillId="0" borderId="0" xfId="0" applyNumberFormat="1" applyFont="1" applyFill="1"/>
    <xf numFmtId="0" fontId="13" fillId="0" borderId="0" xfId="0" applyFont="1" applyFill="1"/>
    <xf numFmtId="164" fontId="13" fillId="0" borderId="0" xfId="0" applyNumberFormat="1" applyFont="1" applyFill="1"/>
    <xf numFmtId="164" fontId="12" fillId="0" borderId="0" xfId="0" applyNumberFormat="1" applyFont="1" applyFill="1"/>
    <xf numFmtId="0" fontId="1" fillId="0" borderId="0" xfId="0" applyFont="1" applyFill="1" applyAlignment="1">
      <alignment vertical="distributed"/>
    </xf>
    <xf numFmtId="164" fontId="1" fillId="0" borderId="0" xfId="0" applyNumberFormat="1" applyFont="1" applyFill="1" applyAlignment="1">
      <alignment horizontal="center"/>
    </xf>
    <xf numFmtId="0" fontId="1" fillId="0" borderId="0" xfId="0" quotePrefix="1" applyFont="1" applyFill="1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vertical="justify"/>
    </xf>
    <xf numFmtId="0" fontId="10" fillId="0" borderId="0" xfId="0" applyFont="1" applyFill="1"/>
    <xf numFmtId="164" fontId="11" fillId="0" borderId="0" xfId="0" applyNumberFormat="1" applyFont="1" applyFill="1"/>
    <xf numFmtId="0" fontId="4" fillId="0" borderId="0" xfId="0" applyFont="1"/>
    <xf numFmtId="0" fontId="4" fillId="3" borderId="0" xfId="0" applyFont="1" applyFill="1" applyAlignment="1">
      <alignment wrapText="1"/>
    </xf>
    <xf numFmtId="0" fontId="14" fillId="0" borderId="0" xfId="0" applyFont="1" applyFill="1" applyBorder="1"/>
    <xf numFmtId="164" fontId="14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16" fillId="0" borderId="0" xfId="0" applyFont="1"/>
    <xf numFmtId="165" fontId="16" fillId="0" borderId="0" xfId="1" applyNumberFormat="1" applyFont="1"/>
    <xf numFmtId="0" fontId="5" fillId="0" borderId="0" xfId="0" applyFont="1"/>
    <xf numFmtId="165" fontId="5" fillId="0" borderId="0" xfId="1" applyNumberFormat="1" applyFont="1"/>
    <xf numFmtId="0" fontId="2" fillId="0" borderId="0" xfId="0" applyFont="1"/>
    <xf numFmtId="165" fontId="2" fillId="0" borderId="0" xfId="1" applyNumberFormat="1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1" fillId="0" borderId="0" xfId="2" applyNumberFormat="1" applyFont="1"/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opLeftCell="A52" zoomScaleNormal="100" workbookViewId="0">
      <selection activeCell="G55" sqref="G55"/>
    </sheetView>
  </sheetViews>
  <sheetFormatPr defaultColWidth="9.140625" defaultRowHeight="15.75" x14ac:dyDescent="0.25"/>
  <cols>
    <col min="1" max="1" width="77.28515625" style="44" bestFit="1" customWidth="1"/>
    <col min="2" max="2" width="26.28515625" style="45" bestFit="1" customWidth="1"/>
    <col min="3" max="16384" width="9.140625" style="13"/>
  </cols>
  <sheetData>
    <row r="1" spans="1:8" ht="23.25" thickBot="1" x14ac:dyDescent="0.35">
      <c r="A1" s="80" t="s">
        <v>217</v>
      </c>
      <c r="B1" s="80"/>
      <c r="C1" s="12"/>
      <c r="D1" s="12"/>
      <c r="E1" s="12"/>
      <c r="F1" s="12"/>
      <c r="G1" s="12"/>
      <c r="H1" s="12"/>
    </row>
    <row r="2" spans="1:8" ht="21.75" thickTop="1" thickBot="1" x14ac:dyDescent="0.35">
      <c r="A2" s="36" t="s">
        <v>1</v>
      </c>
      <c r="B2" s="37" t="s">
        <v>0</v>
      </c>
    </row>
    <row r="3" spans="1:8" ht="16.5" thickTop="1" x14ac:dyDescent="0.25">
      <c r="A3" s="40" t="s">
        <v>2</v>
      </c>
      <c r="B3" s="41">
        <f>873586+10998074</f>
        <v>11871660</v>
      </c>
    </row>
    <row r="5" spans="1:8" x14ac:dyDescent="0.25">
      <c r="A5" s="38" t="s">
        <v>3</v>
      </c>
      <c r="B5" s="39">
        <f>12153750+3339000+1003500+539000</f>
        <v>17035250</v>
      </c>
    </row>
    <row r="6" spans="1:8" x14ac:dyDescent="0.25">
      <c r="A6" s="38" t="s">
        <v>4</v>
      </c>
      <c r="B6" s="39">
        <f>454000+2497000</f>
        <v>2951000</v>
      </c>
    </row>
    <row r="7" spans="1:8" x14ac:dyDescent="0.25">
      <c r="A7" s="40" t="s">
        <v>5</v>
      </c>
      <c r="B7" s="41">
        <f>SUM(B5:B6)</f>
        <v>19986250</v>
      </c>
    </row>
    <row r="9" spans="1:8" x14ac:dyDescent="0.25">
      <c r="A9" s="38" t="s">
        <v>180</v>
      </c>
      <c r="B9" s="39">
        <f>551700+4590600</f>
        <v>5142300</v>
      </c>
    </row>
    <row r="10" spans="1:8" x14ac:dyDescent="0.25">
      <c r="A10" s="38" t="s">
        <v>182</v>
      </c>
      <c r="B10" s="39">
        <v>5295000</v>
      </c>
    </row>
    <row r="11" spans="1:8" x14ac:dyDescent="0.25">
      <c r="A11" s="38" t="s">
        <v>183</v>
      </c>
      <c r="B11" s="39">
        <f>SUM(B12:B14)</f>
        <v>5349233</v>
      </c>
    </row>
    <row r="12" spans="1:8" x14ac:dyDescent="0.25">
      <c r="A12" s="66" t="s">
        <v>184</v>
      </c>
      <c r="B12" s="67">
        <f>382284+3614160</f>
        <v>3996444</v>
      </c>
    </row>
    <row r="13" spans="1:8" x14ac:dyDescent="0.25">
      <c r="A13" s="66" t="s">
        <v>185</v>
      </c>
      <c r="B13" s="67">
        <v>1188629</v>
      </c>
    </row>
    <row r="14" spans="1:8" x14ac:dyDescent="0.25">
      <c r="A14" s="66" t="s">
        <v>186</v>
      </c>
      <c r="B14" s="67">
        <v>164160</v>
      </c>
    </row>
    <row r="15" spans="1:8" x14ac:dyDescent="0.25">
      <c r="A15" s="40" t="s">
        <v>181</v>
      </c>
      <c r="B15" s="41">
        <f>SUM(B9:B11)</f>
        <v>15786533</v>
      </c>
    </row>
    <row r="17" spans="1:2" x14ac:dyDescent="0.25">
      <c r="A17" s="40" t="s">
        <v>6</v>
      </c>
      <c r="B17" s="41">
        <v>2270000</v>
      </c>
    </row>
    <row r="18" spans="1:2" x14ac:dyDescent="0.25">
      <c r="A18" s="40"/>
      <c r="B18" s="41"/>
    </row>
    <row r="19" spans="1:2" ht="31.5" x14ac:dyDescent="0.25">
      <c r="A19" s="78" t="s">
        <v>281</v>
      </c>
      <c r="B19" s="41">
        <v>1721578</v>
      </c>
    </row>
    <row r="21" spans="1:2" ht="18.75" x14ac:dyDescent="0.3">
      <c r="A21" s="42" t="s">
        <v>26</v>
      </c>
      <c r="B21" s="43">
        <f>SUM(B3+B7+B15+B17+B19)</f>
        <v>51636021</v>
      </c>
    </row>
    <row r="23" spans="1:2" x14ac:dyDescent="0.25">
      <c r="A23" s="44" t="s">
        <v>7</v>
      </c>
      <c r="B23" s="45">
        <v>171327300</v>
      </c>
    </row>
    <row r="25" spans="1:2" x14ac:dyDescent="0.25">
      <c r="A25" s="44" t="s">
        <v>285</v>
      </c>
      <c r="B25" s="45">
        <v>514491</v>
      </c>
    </row>
    <row r="27" spans="1:2" x14ac:dyDescent="0.25">
      <c r="A27" s="44" t="s">
        <v>297</v>
      </c>
      <c r="B27" s="45">
        <v>800000</v>
      </c>
    </row>
    <row r="29" spans="1:2" x14ac:dyDescent="0.25">
      <c r="A29" s="44" t="s">
        <v>25</v>
      </c>
      <c r="B29" s="45">
        <f>SUM(B30:B32)</f>
        <v>4617000</v>
      </c>
    </row>
    <row r="30" spans="1:2" x14ac:dyDescent="0.25">
      <c r="A30" s="38" t="s">
        <v>218</v>
      </c>
      <c r="B30" s="39">
        <v>1440000</v>
      </c>
    </row>
    <row r="31" spans="1:2" x14ac:dyDescent="0.25">
      <c r="A31" s="38" t="s">
        <v>266</v>
      </c>
      <c r="B31" s="39">
        <v>2800000</v>
      </c>
    </row>
    <row r="32" spans="1:2" x14ac:dyDescent="0.25">
      <c r="A32" s="38" t="s">
        <v>102</v>
      </c>
      <c r="B32" s="39">
        <v>377000</v>
      </c>
    </row>
    <row r="34" spans="1:2" x14ac:dyDescent="0.25">
      <c r="A34" s="40" t="s">
        <v>8</v>
      </c>
      <c r="B34" s="41">
        <f>SUM(B35:B37)</f>
        <v>5485000</v>
      </c>
    </row>
    <row r="35" spans="1:2" x14ac:dyDescent="0.25">
      <c r="A35" s="44" t="s">
        <v>20</v>
      </c>
      <c r="B35" s="45">
        <v>435000</v>
      </c>
    </row>
    <row r="36" spans="1:2" x14ac:dyDescent="0.25">
      <c r="A36" s="44" t="s">
        <v>9</v>
      </c>
      <c r="B36" s="45">
        <v>5000000</v>
      </c>
    </row>
    <row r="37" spans="1:2" x14ac:dyDescent="0.25">
      <c r="A37" s="44" t="s">
        <v>22</v>
      </c>
      <c r="B37" s="45">
        <v>50000</v>
      </c>
    </row>
    <row r="39" spans="1:2" x14ac:dyDescent="0.25">
      <c r="A39" s="40" t="s">
        <v>10</v>
      </c>
      <c r="B39" s="41">
        <f>SUM(B40+B41+B42+B49+B50+B51+B52+B53+B54+B55+B56+B57)</f>
        <v>6605948</v>
      </c>
    </row>
    <row r="40" spans="1:2" x14ac:dyDescent="0.25">
      <c r="A40" s="44" t="s">
        <v>11</v>
      </c>
      <c r="B40" s="45">
        <v>100000</v>
      </c>
    </row>
    <row r="41" spans="1:2" x14ac:dyDescent="0.25">
      <c r="A41" s="44" t="s">
        <v>12</v>
      </c>
      <c r="B41" s="45">
        <v>145000</v>
      </c>
    </row>
    <row r="42" spans="1:2" x14ac:dyDescent="0.25">
      <c r="A42" s="44" t="s">
        <v>13</v>
      </c>
      <c r="B42" s="45">
        <f>SUM(B43:B48)</f>
        <v>1085556</v>
      </c>
    </row>
    <row r="43" spans="1:2" x14ac:dyDescent="0.25">
      <c r="A43" s="46" t="s">
        <v>23</v>
      </c>
      <c r="B43" s="39">
        <f>12*30208</f>
        <v>362496</v>
      </c>
    </row>
    <row r="44" spans="1:2" x14ac:dyDescent="0.25">
      <c r="A44" s="46" t="s">
        <v>112</v>
      </c>
      <c r="B44" s="39">
        <v>0</v>
      </c>
    </row>
    <row r="45" spans="1:2" x14ac:dyDescent="0.25">
      <c r="A45" s="46" t="s">
        <v>187</v>
      </c>
      <c r="B45" s="39">
        <f>12*32000</f>
        <v>384000</v>
      </c>
    </row>
    <row r="46" spans="1:2" x14ac:dyDescent="0.25">
      <c r="A46" s="46" t="s">
        <v>104</v>
      </c>
      <c r="B46" s="39">
        <v>239700</v>
      </c>
    </row>
    <row r="47" spans="1:2" x14ac:dyDescent="0.25">
      <c r="A47" s="46" t="s">
        <v>219</v>
      </c>
      <c r="B47" s="39">
        <f>12*4680</f>
        <v>56160</v>
      </c>
    </row>
    <row r="48" spans="1:2" x14ac:dyDescent="0.25">
      <c r="A48" s="46" t="s">
        <v>24</v>
      </c>
      <c r="B48" s="39">
        <f>12*3600</f>
        <v>43200</v>
      </c>
    </row>
    <row r="49" spans="1:2" x14ac:dyDescent="0.25">
      <c r="A49" s="44" t="s">
        <v>220</v>
      </c>
      <c r="B49" s="45">
        <f>527952+(46240*6)</f>
        <v>805392</v>
      </c>
    </row>
    <row r="50" spans="1:2" x14ac:dyDescent="0.25">
      <c r="A50" s="44" t="s">
        <v>188</v>
      </c>
      <c r="B50" s="45">
        <v>5000</v>
      </c>
    </row>
    <row r="51" spans="1:2" x14ac:dyDescent="0.25">
      <c r="A51" s="44" t="s">
        <v>14</v>
      </c>
      <c r="B51" s="45">
        <v>2300000</v>
      </c>
    </row>
    <row r="52" spans="1:2" x14ac:dyDescent="0.25">
      <c r="A52" s="44" t="s">
        <v>15</v>
      </c>
      <c r="B52" s="45">
        <v>10000</v>
      </c>
    </row>
    <row r="53" spans="1:2" x14ac:dyDescent="0.25">
      <c r="A53" s="44" t="s">
        <v>221</v>
      </c>
      <c r="B53" s="45">
        <v>125000</v>
      </c>
    </row>
    <row r="54" spans="1:2" x14ac:dyDescent="0.25">
      <c r="A54" s="44" t="s">
        <v>16</v>
      </c>
      <c r="B54" s="45">
        <v>50000</v>
      </c>
    </row>
    <row r="55" spans="1:2" x14ac:dyDescent="0.25">
      <c r="A55" s="44" t="s">
        <v>87</v>
      </c>
      <c r="B55" s="45">
        <v>1400000</v>
      </c>
    </row>
    <row r="56" spans="1:2" x14ac:dyDescent="0.25">
      <c r="A56" s="44" t="s">
        <v>98</v>
      </c>
      <c r="B56" s="45">
        <v>100000</v>
      </c>
    </row>
    <row r="57" spans="1:2" x14ac:dyDescent="0.25">
      <c r="A57" s="44" t="s">
        <v>222</v>
      </c>
      <c r="B57" s="45">
        <v>480000</v>
      </c>
    </row>
    <row r="58" spans="1:2" x14ac:dyDescent="0.25">
      <c r="A58" s="44" t="s">
        <v>17</v>
      </c>
      <c r="B58" s="25">
        <v>550000</v>
      </c>
    </row>
    <row r="60" spans="1:2" ht="18.75" x14ac:dyDescent="0.3">
      <c r="A60" s="42" t="s">
        <v>18</v>
      </c>
      <c r="B60" s="43">
        <f>B39+B34+B29+B23+B58+B25+B27</f>
        <v>189899739</v>
      </c>
    </row>
    <row r="61" spans="1:2" ht="18.75" x14ac:dyDescent="0.3">
      <c r="A61" s="42"/>
      <c r="B61" s="43"/>
    </row>
    <row r="62" spans="1:2" x14ac:dyDescent="0.25">
      <c r="A62" s="44" t="s">
        <v>19</v>
      </c>
      <c r="B62" s="45">
        <f>B63</f>
        <v>15246608</v>
      </c>
    </row>
    <row r="63" spans="1:2" x14ac:dyDescent="0.25">
      <c r="A63" s="38" t="s">
        <v>262</v>
      </c>
      <c r="B63" s="39">
        <v>15246608</v>
      </c>
    </row>
    <row r="65" spans="1:2" ht="18.75" x14ac:dyDescent="0.3">
      <c r="A65" s="42" t="s">
        <v>21</v>
      </c>
      <c r="B65" s="43">
        <f>B62</f>
        <v>15246608</v>
      </c>
    </row>
    <row r="66" spans="1:2" x14ac:dyDescent="0.25">
      <c r="A66" s="13"/>
      <c r="B66" s="13"/>
    </row>
    <row r="67" spans="1:2" ht="18.75" x14ac:dyDescent="0.3">
      <c r="A67" s="42" t="s">
        <v>86</v>
      </c>
      <c r="B67" s="43">
        <v>41103967</v>
      </c>
    </row>
    <row r="68" spans="1:2" x14ac:dyDescent="0.25">
      <c r="A68" s="47" t="s">
        <v>283</v>
      </c>
      <c r="B68" s="45">
        <v>20663178</v>
      </c>
    </row>
    <row r="69" spans="1:2" x14ac:dyDescent="0.25">
      <c r="A69" s="47" t="s">
        <v>264</v>
      </c>
      <c r="B69" s="45">
        <v>1844415</v>
      </c>
    </row>
    <row r="71" spans="1:2" ht="20.25" x14ac:dyDescent="0.3">
      <c r="A71" s="48" t="s">
        <v>27</v>
      </c>
      <c r="B71" s="49">
        <f>B65+B60+B21+B67</f>
        <v>297886335</v>
      </c>
    </row>
  </sheetData>
  <mergeCells count="1">
    <mergeCell ref="A1:B1"/>
  </mergeCells>
  <pageMargins left="0.7" right="0.7" top="0.75" bottom="0.75" header="0.3" footer="0.3"/>
  <pageSetup paperSize="9" scale="84" fitToHeight="0" orientation="portrait" r:id="rId1"/>
  <headerFooter>
    <oddFooter>&amp;C&amp;"Times New Roman,Normál"&amp;P/&amp;N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1"/>
  <sheetViews>
    <sheetView view="pageBreakPreview" topLeftCell="A29" zoomScaleNormal="100" zoomScaleSheetLayoutView="100" zoomScalePageLayoutView="80" workbookViewId="0">
      <selection activeCell="B53" sqref="B53"/>
    </sheetView>
  </sheetViews>
  <sheetFormatPr defaultColWidth="9.140625" defaultRowHeight="15.75" x14ac:dyDescent="0.25"/>
  <cols>
    <col min="1" max="1" width="74" style="1" bestFit="1" customWidth="1"/>
    <col min="2" max="2" width="27.85546875" style="2" bestFit="1" customWidth="1"/>
    <col min="3" max="3" width="14.42578125" style="1" bestFit="1" customWidth="1"/>
    <col min="4" max="7" width="9.140625" style="1"/>
    <col min="8" max="8" width="10.140625" style="1" bestFit="1" customWidth="1"/>
    <col min="9" max="16384" width="9.140625" style="1"/>
  </cols>
  <sheetData>
    <row r="1" spans="1:2" ht="21" thickBot="1" x14ac:dyDescent="0.35">
      <c r="A1" s="81" t="s">
        <v>127</v>
      </c>
      <c r="B1" s="81"/>
    </row>
    <row r="2" spans="1:2" ht="21" thickTop="1" x14ac:dyDescent="0.3">
      <c r="A2" s="82" t="s">
        <v>215</v>
      </c>
      <c r="B2" s="82"/>
    </row>
    <row r="3" spans="1:2" ht="20.25" x14ac:dyDescent="0.3">
      <c r="A3" s="14"/>
      <c r="B3" s="15"/>
    </row>
    <row r="4" spans="1:2" ht="21" thickBot="1" x14ac:dyDescent="0.35">
      <c r="A4" s="16" t="s">
        <v>1</v>
      </c>
      <c r="B4" s="17" t="s">
        <v>0</v>
      </c>
    </row>
    <row r="5" spans="1:2" ht="19.5" thickTop="1" x14ac:dyDescent="0.3">
      <c r="A5" s="9" t="s">
        <v>28</v>
      </c>
      <c r="B5" s="5">
        <f>SUM(B6+B11+B17+B21)</f>
        <v>20277394</v>
      </c>
    </row>
    <row r="6" spans="1:2" x14ac:dyDescent="0.25">
      <c r="A6" s="4" t="s">
        <v>29</v>
      </c>
      <c r="B6" s="5">
        <f>B7+B8</f>
        <v>2063100</v>
      </c>
    </row>
    <row r="7" spans="1:2" x14ac:dyDescent="0.25">
      <c r="A7" s="26" t="s">
        <v>110</v>
      </c>
      <c r="B7" s="51">
        <v>1794000</v>
      </c>
    </row>
    <row r="8" spans="1:2" x14ac:dyDescent="0.25">
      <c r="A8" s="26" t="s">
        <v>124</v>
      </c>
      <c r="B8" s="51">
        <v>269100</v>
      </c>
    </row>
    <row r="9" spans="1:2" x14ac:dyDescent="0.25">
      <c r="A9" s="50" t="s">
        <v>193</v>
      </c>
      <c r="B9" s="51">
        <f>9*150000</f>
        <v>1350000</v>
      </c>
    </row>
    <row r="10" spans="1:2" x14ac:dyDescent="0.25">
      <c r="B10" s="24"/>
    </row>
    <row r="11" spans="1:2" x14ac:dyDescent="0.25">
      <c r="A11" s="4" t="s">
        <v>30</v>
      </c>
      <c r="B11" s="23">
        <f>SUM(B12:B15)</f>
        <v>9698994</v>
      </c>
    </row>
    <row r="12" spans="1:2" x14ac:dyDescent="0.25">
      <c r="A12" s="26" t="s">
        <v>130</v>
      </c>
      <c r="B12" s="51">
        <v>3360000</v>
      </c>
    </row>
    <row r="13" spans="1:2" x14ac:dyDescent="0.25">
      <c r="A13" s="26" t="s">
        <v>128</v>
      </c>
      <c r="B13" s="51">
        <v>2574000</v>
      </c>
    </row>
    <row r="14" spans="1:2" x14ac:dyDescent="0.25">
      <c r="A14" s="26" t="s">
        <v>190</v>
      </c>
      <c r="B14" s="51">
        <f>1*229254+(10*237654)</f>
        <v>2605794</v>
      </c>
    </row>
    <row r="15" spans="1:2" x14ac:dyDescent="0.25">
      <c r="A15" s="26" t="s">
        <v>129</v>
      </c>
      <c r="B15" s="51">
        <f>12*96600</f>
        <v>1159200</v>
      </c>
    </row>
    <row r="16" spans="1:2" x14ac:dyDescent="0.25">
      <c r="B16" s="24"/>
    </row>
    <row r="17" spans="1:2" x14ac:dyDescent="0.25">
      <c r="A17" s="4" t="s">
        <v>31</v>
      </c>
      <c r="B17" s="23">
        <f>SUM(B18:B19)</f>
        <v>8465300</v>
      </c>
    </row>
    <row r="18" spans="1:2" x14ac:dyDescent="0.25">
      <c r="A18" s="26" t="s">
        <v>131</v>
      </c>
      <c r="B18" s="51">
        <f>5*2*81530</f>
        <v>815300</v>
      </c>
    </row>
    <row r="19" spans="1:2" x14ac:dyDescent="0.25">
      <c r="A19" s="50" t="s">
        <v>216</v>
      </c>
      <c r="B19" s="51">
        <f>9*10*85000</f>
        <v>7650000</v>
      </c>
    </row>
    <row r="20" spans="1:2" x14ac:dyDescent="0.25">
      <c r="A20" s="50"/>
      <c r="B20" s="51"/>
    </row>
    <row r="21" spans="1:2" x14ac:dyDescent="0.25">
      <c r="A21" s="54" t="s">
        <v>113</v>
      </c>
      <c r="B21" s="55">
        <v>50000</v>
      </c>
    </row>
    <row r="22" spans="1:2" x14ac:dyDescent="0.25">
      <c r="A22" s="54"/>
      <c r="B22" s="55"/>
    </row>
    <row r="23" spans="1:2" ht="18.75" x14ac:dyDescent="0.3">
      <c r="A23" s="34" t="s">
        <v>32</v>
      </c>
      <c r="B23" s="20">
        <f>SUM(B24,B28)</f>
        <v>758196</v>
      </c>
    </row>
    <row r="24" spans="1:2" x14ac:dyDescent="0.25">
      <c r="A24" s="4" t="s">
        <v>33</v>
      </c>
      <c r="B24" s="5">
        <f>B25</f>
        <v>149500</v>
      </c>
    </row>
    <row r="25" spans="1:2" x14ac:dyDescent="0.25">
      <c r="A25" s="1" t="s">
        <v>29</v>
      </c>
      <c r="B25" s="2">
        <v>149500</v>
      </c>
    </row>
    <row r="26" spans="1:2" x14ac:dyDescent="0.25">
      <c r="A26" s="26" t="s">
        <v>125</v>
      </c>
      <c r="B26" s="3">
        <v>149500</v>
      </c>
    </row>
    <row r="28" spans="1:2" x14ac:dyDescent="0.25">
      <c r="A28" s="22" t="s">
        <v>195</v>
      </c>
      <c r="B28" s="5">
        <f>SUM(+B29)</f>
        <v>608696</v>
      </c>
    </row>
    <row r="29" spans="1:2" x14ac:dyDescent="0.25">
      <c r="A29" s="27" t="s">
        <v>30</v>
      </c>
      <c r="B29" s="2">
        <f>SUM(B30:B33)</f>
        <v>608696</v>
      </c>
    </row>
    <row r="30" spans="1:2" x14ac:dyDescent="0.25">
      <c r="A30" s="26" t="s">
        <v>108</v>
      </c>
      <c r="B30" s="3">
        <v>173913</v>
      </c>
    </row>
    <row r="31" spans="1:2" x14ac:dyDescent="0.25">
      <c r="A31" s="26" t="s">
        <v>109</v>
      </c>
      <c r="B31" s="3">
        <v>173913</v>
      </c>
    </row>
    <row r="32" spans="1:2" x14ac:dyDescent="0.25">
      <c r="A32" s="26" t="s">
        <v>109</v>
      </c>
      <c r="B32" s="3">
        <v>86957</v>
      </c>
    </row>
    <row r="33" spans="1:2" x14ac:dyDescent="0.25">
      <c r="A33" s="26" t="s">
        <v>199</v>
      </c>
      <c r="B33" s="3">
        <v>173913</v>
      </c>
    </row>
    <row r="35" spans="1:2" ht="18.75" x14ac:dyDescent="0.3">
      <c r="A35" s="34" t="s">
        <v>34</v>
      </c>
      <c r="B35" s="20">
        <f>SUM(B36:B39)</f>
        <v>2520000</v>
      </c>
    </row>
    <row r="36" spans="1:2" x14ac:dyDescent="0.25">
      <c r="A36" s="27" t="s">
        <v>92</v>
      </c>
      <c r="B36" s="24">
        <v>720000</v>
      </c>
    </row>
    <row r="37" spans="1:2" x14ac:dyDescent="0.25">
      <c r="A37" s="27" t="s">
        <v>91</v>
      </c>
      <c r="B37" s="24">
        <v>210000</v>
      </c>
    </row>
    <row r="38" spans="1:2" x14ac:dyDescent="0.25">
      <c r="A38" s="27" t="s">
        <v>189</v>
      </c>
      <c r="B38" s="24">
        <v>150000</v>
      </c>
    </row>
    <row r="39" spans="1:2" x14ac:dyDescent="0.25">
      <c r="A39" s="27" t="s">
        <v>192</v>
      </c>
      <c r="B39" s="2">
        <f>SUM(B40:B40)</f>
        <v>1440000</v>
      </c>
    </row>
    <row r="40" spans="1:2" x14ac:dyDescent="0.25">
      <c r="A40" s="52" t="s">
        <v>111</v>
      </c>
      <c r="B40" s="51">
        <v>1440000</v>
      </c>
    </row>
    <row r="42" spans="1:2" ht="18.75" x14ac:dyDescent="0.3">
      <c r="A42" s="34" t="s">
        <v>41</v>
      </c>
      <c r="B42" s="20">
        <f>SUM(B43:B45)</f>
        <v>1530000</v>
      </c>
    </row>
    <row r="43" spans="1:2" x14ac:dyDescent="0.25">
      <c r="A43" s="27" t="s">
        <v>42</v>
      </c>
      <c r="B43" s="2">
        <v>500000</v>
      </c>
    </row>
    <row r="44" spans="1:2" x14ac:dyDescent="0.25">
      <c r="A44" s="27" t="s">
        <v>39</v>
      </c>
      <c r="B44" s="2">
        <v>30000</v>
      </c>
    </row>
    <row r="45" spans="1:2" x14ac:dyDescent="0.25">
      <c r="A45" s="27" t="s">
        <v>85</v>
      </c>
      <c r="B45" s="24">
        <v>1000000</v>
      </c>
    </row>
    <row r="46" spans="1:2" x14ac:dyDescent="0.25">
      <c r="A46" s="27"/>
    </row>
    <row r="47" spans="1:2" ht="18.75" x14ac:dyDescent="0.3">
      <c r="A47" s="7" t="s">
        <v>35</v>
      </c>
      <c r="B47" s="8">
        <f>B5+B23+B35+B42</f>
        <v>25085590</v>
      </c>
    </row>
    <row r="49" spans="1:2" ht="18.75" x14ac:dyDescent="0.3">
      <c r="A49" s="9" t="s">
        <v>36</v>
      </c>
      <c r="B49" s="5"/>
    </row>
    <row r="50" spans="1:2" x14ac:dyDescent="0.25">
      <c r="A50" s="22" t="s">
        <v>202</v>
      </c>
      <c r="B50" s="5">
        <f>B51+B52+B53+B54+B55+B56</f>
        <v>3380278.44</v>
      </c>
    </row>
    <row r="51" spans="1:2" x14ac:dyDescent="0.25">
      <c r="A51" s="27" t="s">
        <v>30</v>
      </c>
      <c r="B51" s="24">
        <f>9844248*0.155</f>
        <v>1525858.44</v>
      </c>
    </row>
    <row r="52" spans="1:2" x14ac:dyDescent="0.25">
      <c r="A52" s="27" t="s">
        <v>31</v>
      </c>
      <c r="B52" s="24">
        <f>B19*0.155</f>
        <v>1185750</v>
      </c>
    </row>
    <row r="53" spans="1:2" x14ac:dyDescent="0.25">
      <c r="A53" s="27" t="s">
        <v>37</v>
      </c>
      <c r="B53" s="2">
        <f>210000*0.155</f>
        <v>32550</v>
      </c>
    </row>
    <row r="54" spans="1:2" x14ac:dyDescent="0.25">
      <c r="A54" s="27" t="s">
        <v>93</v>
      </c>
      <c r="B54" s="53">
        <f>720000*0.155</f>
        <v>111600</v>
      </c>
    </row>
    <row r="55" spans="1:2" x14ac:dyDescent="0.25">
      <c r="A55" s="27" t="s">
        <v>38</v>
      </c>
      <c r="B55" s="24">
        <f>150000*0.155</f>
        <v>23250</v>
      </c>
    </row>
    <row r="56" spans="1:2" x14ac:dyDescent="0.25">
      <c r="A56" s="27" t="s">
        <v>29</v>
      </c>
      <c r="B56" s="2">
        <f>SUM(B57:B58)</f>
        <v>501270</v>
      </c>
    </row>
    <row r="57" spans="1:2" x14ac:dyDescent="0.25">
      <c r="A57" s="26" t="s">
        <v>99</v>
      </c>
      <c r="B57" s="51">
        <f>B7*0.155</f>
        <v>278070</v>
      </c>
    </row>
    <row r="58" spans="1:2" x14ac:dyDescent="0.25">
      <c r="A58" s="26" t="s">
        <v>100</v>
      </c>
      <c r="B58" s="51">
        <f>B39*0.155</f>
        <v>223200</v>
      </c>
    </row>
    <row r="60" spans="1:2" x14ac:dyDescent="0.25">
      <c r="A60" s="27" t="s">
        <v>191</v>
      </c>
      <c r="B60" s="24">
        <f>B28*0.15</f>
        <v>91304.4</v>
      </c>
    </row>
    <row r="62" spans="1:2" s="31" customFormat="1" x14ac:dyDescent="0.25">
      <c r="A62" s="30" t="s">
        <v>194</v>
      </c>
      <c r="B62" s="61">
        <f>B42*0.345+674880*0.2*0.345</f>
        <v>574416.72</v>
      </c>
    </row>
    <row r="64" spans="1:2" ht="18.75" x14ac:dyDescent="0.3">
      <c r="A64" s="7" t="s">
        <v>77</v>
      </c>
      <c r="B64" s="8">
        <f>B62+B60+B50</f>
        <v>4045999.56</v>
      </c>
    </row>
    <row r="66" spans="1:2" ht="18.75" x14ac:dyDescent="0.3">
      <c r="A66" s="34" t="s">
        <v>40</v>
      </c>
      <c r="B66" s="5"/>
    </row>
    <row r="68" spans="1:2" s="4" customFormat="1" x14ac:dyDescent="0.25">
      <c r="A68" s="4" t="s">
        <v>132</v>
      </c>
      <c r="B68" s="5">
        <v>100000</v>
      </c>
    </row>
    <row r="69" spans="1:2" s="4" customFormat="1" x14ac:dyDescent="0.25">
      <c r="A69" s="27"/>
      <c r="B69" s="2"/>
    </row>
    <row r="70" spans="1:2" x14ac:dyDescent="0.25">
      <c r="A70" s="4" t="s">
        <v>133</v>
      </c>
      <c r="B70" s="5">
        <f>SUM(B71:B77)</f>
        <v>4000000</v>
      </c>
    </row>
    <row r="71" spans="1:2" s="4" customFormat="1" x14ac:dyDescent="0.25">
      <c r="A71" s="27" t="s">
        <v>137</v>
      </c>
      <c r="B71" s="2">
        <v>1100000</v>
      </c>
    </row>
    <row r="72" spans="1:2" x14ac:dyDescent="0.25">
      <c r="A72" s="1" t="s">
        <v>134</v>
      </c>
      <c r="B72" s="2">
        <v>500000</v>
      </c>
    </row>
    <row r="73" spans="1:2" s="4" customFormat="1" x14ac:dyDescent="0.25">
      <c r="A73" s="27" t="s">
        <v>135</v>
      </c>
      <c r="B73" s="2">
        <v>500000</v>
      </c>
    </row>
    <row r="74" spans="1:2" s="4" customFormat="1" x14ac:dyDescent="0.25">
      <c r="A74" s="27" t="s">
        <v>136</v>
      </c>
      <c r="B74" s="2">
        <v>100000</v>
      </c>
    </row>
    <row r="75" spans="1:2" s="4" customFormat="1" x14ac:dyDescent="0.25">
      <c r="A75" s="27" t="s">
        <v>138</v>
      </c>
      <c r="B75" s="2">
        <v>1500000</v>
      </c>
    </row>
    <row r="76" spans="1:2" x14ac:dyDescent="0.25">
      <c r="A76" s="1" t="s">
        <v>139</v>
      </c>
      <c r="B76" s="2">
        <v>100000</v>
      </c>
    </row>
    <row r="77" spans="1:2" x14ac:dyDescent="0.25">
      <c r="A77" s="27" t="s">
        <v>140</v>
      </c>
      <c r="B77" s="24">
        <v>200000</v>
      </c>
    </row>
    <row r="78" spans="1:2" x14ac:dyDescent="0.25">
      <c r="B78" s="24"/>
    </row>
    <row r="79" spans="1:2" x14ac:dyDescent="0.25">
      <c r="A79" s="4" t="s">
        <v>141</v>
      </c>
      <c r="B79" s="23">
        <f>B80+B81+B87+B88+B89</f>
        <v>1562880</v>
      </c>
    </row>
    <row r="80" spans="1:2" x14ac:dyDescent="0.25">
      <c r="A80" s="1" t="s">
        <v>142</v>
      </c>
      <c r="B80" s="24">
        <f>12*10000</f>
        <v>120000</v>
      </c>
    </row>
    <row r="81" spans="1:2" x14ac:dyDescent="0.25">
      <c r="A81" s="1" t="s">
        <v>143</v>
      </c>
      <c r="B81" s="23">
        <f>SUM(B82:B86)</f>
        <v>647880</v>
      </c>
    </row>
    <row r="82" spans="1:2" x14ac:dyDescent="0.25">
      <c r="A82" s="26" t="s">
        <v>144</v>
      </c>
      <c r="B82" s="51">
        <f>12*6000</f>
        <v>72000</v>
      </c>
    </row>
    <row r="83" spans="1:2" x14ac:dyDescent="0.25">
      <c r="A83" s="64" t="s">
        <v>145</v>
      </c>
      <c r="B83" s="3">
        <f>12*6900</f>
        <v>82800</v>
      </c>
    </row>
    <row r="84" spans="1:2" x14ac:dyDescent="0.25">
      <c r="A84" s="50" t="s">
        <v>155</v>
      </c>
      <c r="B84" s="51">
        <f>(12*6600)+(12*24090)</f>
        <v>368280</v>
      </c>
    </row>
    <row r="85" spans="1:2" x14ac:dyDescent="0.25">
      <c r="A85" s="50" t="s">
        <v>150</v>
      </c>
      <c r="B85" s="51">
        <f>12*4500</f>
        <v>54000</v>
      </c>
    </row>
    <row r="86" spans="1:2" x14ac:dyDescent="0.25">
      <c r="A86" s="50" t="s">
        <v>151</v>
      </c>
      <c r="B86" s="51">
        <f>12*5900</f>
        <v>70800</v>
      </c>
    </row>
    <row r="87" spans="1:2" x14ac:dyDescent="0.25">
      <c r="A87" s="21" t="s">
        <v>146</v>
      </c>
      <c r="B87" s="24">
        <v>15000</v>
      </c>
    </row>
    <row r="88" spans="1:2" x14ac:dyDescent="0.25">
      <c r="A88" s="21" t="s">
        <v>147</v>
      </c>
      <c r="B88" s="24">
        <f>12*60000</f>
        <v>720000</v>
      </c>
    </row>
    <row r="89" spans="1:2" x14ac:dyDescent="0.25">
      <c r="A89" s="21" t="s">
        <v>148</v>
      </c>
      <c r="B89" s="24">
        <v>60000</v>
      </c>
    </row>
    <row r="90" spans="1:2" x14ac:dyDescent="0.25">
      <c r="A90" s="27"/>
      <c r="B90" s="24"/>
    </row>
    <row r="91" spans="1:2" x14ac:dyDescent="0.25">
      <c r="A91" s="28" t="s">
        <v>149</v>
      </c>
      <c r="B91" s="23">
        <f>B92+B95</f>
        <v>2635512</v>
      </c>
    </row>
    <row r="92" spans="1:2" x14ac:dyDescent="0.25">
      <c r="A92" s="21" t="s">
        <v>152</v>
      </c>
      <c r="B92" s="24">
        <f>SUM(B93:B94)</f>
        <v>2619512</v>
      </c>
    </row>
    <row r="93" spans="1:2" x14ac:dyDescent="0.25">
      <c r="A93" s="64" t="s">
        <v>153</v>
      </c>
      <c r="B93" s="3">
        <v>2600000</v>
      </c>
    </row>
    <row r="94" spans="1:2" x14ac:dyDescent="0.25">
      <c r="A94" s="26" t="s">
        <v>154</v>
      </c>
      <c r="B94" s="3">
        <f>12*1626</f>
        <v>19512</v>
      </c>
    </row>
    <row r="95" spans="1:2" x14ac:dyDescent="0.25">
      <c r="A95" s="27" t="s">
        <v>156</v>
      </c>
      <c r="B95" s="2">
        <v>16000</v>
      </c>
    </row>
    <row r="97" spans="1:3" x14ac:dyDescent="0.25">
      <c r="A97" s="4" t="s">
        <v>157</v>
      </c>
      <c r="B97" s="5">
        <f>SUM(B98+B108+B116)</f>
        <v>5033000</v>
      </c>
    </row>
    <row r="98" spans="1:3" x14ac:dyDescent="0.25">
      <c r="A98" s="27" t="s">
        <v>158</v>
      </c>
      <c r="B98" s="2">
        <f>SUM(B99:B107)</f>
        <v>1981000</v>
      </c>
    </row>
    <row r="99" spans="1:3" x14ac:dyDescent="0.25">
      <c r="A99" s="26" t="s">
        <v>43</v>
      </c>
      <c r="B99" s="3">
        <v>610000</v>
      </c>
    </row>
    <row r="100" spans="1:3" x14ac:dyDescent="0.25">
      <c r="A100" s="26" t="s">
        <v>119</v>
      </c>
      <c r="B100" s="3">
        <v>600000</v>
      </c>
    </row>
    <row r="101" spans="1:3" x14ac:dyDescent="0.25">
      <c r="A101" s="26" t="s">
        <v>120</v>
      </c>
      <c r="B101" s="3">
        <v>30000</v>
      </c>
    </row>
    <row r="102" spans="1:3" x14ac:dyDescent="0.25">
      <c r="A102" s="26" t="s">
        <v>44</v>
      </c>
      <c r="B102" s="3">
        <v>31000</v>
      </c>
      <c r="C102" s="2"/>
    </row>
    <row r="103" spans="1:3" x14ac:dyDescent="0.25">
      <c r="A103" s="26" t="s">
        <v>45</v>
      </c>
      <c r="B103" s="3">
        <v>20000</v>
      </c>
    </row>
    <row r="104" spans="1:3" x14ac:dyDescent="0.25">
      <c r="A104" s="26" t="s">
        <v>39</v>
      </c>
      <c r="B104" s="3">
        <v>20000</v>
      </c>
    </row>
    <row r="105" spans="1:3" ht="17.25" customHeight="1" x14ac:dyDescent="0.25">
      <c r="A105" s="26" t="s">
        <v>38</v>
      </c>
      <c r="B105" s="3">
        <v>50000</v>
      </c>
    </row>
    <row r="106" spans="1:3" x14ac:dyDescent="0.25">
      <c r="A106" s="65" t="s">
        <v>52</v>
      </c>
      <c r="B106" s="3">
        <v>20000</v>
      </c>
    </row>
    <row r="107" spans="1:3" x14ac:dyDescent="0.25">
      <c r="A107" s="65" t="s">
        <v>94</v>
      </c>
      <c r="B107" s="3">
        <v>600000</v>
      </c>
    </row>
    <row r="108" spans="1:3" x14ac:dyDescent="0.25">
      <c r="A108" s="29" t="s">
        <v>47</v>
      </c>
      <c r="B108" s="24">
        <f>SUM(B109:B115)</f>
        <v>2700000</v>
      </c>
    </row>
    <row r="109" spans="1:3" x14ac:dyDescent="0.25">
      <c r="A109" s="26" t="s">
        <v>48</v>
      </c>
      <c r="B109" s="51">
        <v>700000</v>
      </c>
    </row>
    <row r="110" spans="1:3" x14ac:dyDescent="0.25">
      <c r="A110" s="26" t="s">
        <v>44</v>
      </c>
      <c r="B110" s="3">
        <v>100000</v>
      </c>
    </row>
    <row r="111" spans="1:3" x14ac:dyDescent="0.25">
      <c r="A111" s="26" t="s">
        <v>45</v>
      </c>
      <c r="B111" s="3">
        <v>50000</v>
      </c>
    </row>
    <row r="112" spans="1:3" x14ac:dyDescent="0.25">
      <c r="A112" s="26" t="s">
        <v>38</v>
      </c>
      <c r="B112" s="3">
        <v>100000</v>
      </c>
      <c r="C112" s="2"/>
    </row>
    <row r="113" spans="1:3" x14ac:dyDescent="0.25">
      <c r="A113" s="26" t="s">
        <v>39</v>
      </c>
      <c r="B113" s="3">
        <v>800000</v>
      </c>
    </row>
    <row r="114" spans="1:3" x14ac:dyDescent="0.25">
      <c r="A114" s="65" t="s">
        <v>46</v>
      </c>
      <c r="B114" s="3">
        <v>800000</v>
      </c>
    </row>
    <row r="115" spans="1:3" x14ac:dyDescent="0.25">
      <c r="A115" s="65" t="s">
        <v>94</v>
      </c>
      <c r="B115" s="3">
        <v>150000</v>
      </c>
    </row>
    <row r="116" spans="1:3" x14ac:dyDescent="0.25">
      <c r="A116" s="1" t="s">
        <v>159</v>
      </c>
      <c r="B116" s="2">
        <f>SUM(B117:B125)</f>
        <v>352000</v>
      </c>
    </row>
    <row r="117" spans="1:3" x14ac:dyDescent="0.25">
      <c r="A117" s="26" t="s">
        <v>49</v>
      </c>
      <c r="B117" s="3">
        <v>7000</v>
      </c>
    </row>
    <row r="118" spans="1:3" x14ac:dyDescent="0.25">
      <c r="A118" s="26" t="s">
        <v>42</v>
      </c>
      <c r="B118" s="3">
        <v>90000</v>
      </c>
    </row>
    <row r="119" spans="1:3" x14ac:dyDescent="0.25">
      <c r="A119" s="26" t="s">
        <v>44</v>
      </c>
      <c r="B119" s="3">
        <v>30000</v>
      </c>
    </row>
    <row r="120" spans="1:3" x14ac:dyDescent="0.25">
      <c r="A120" s="26" t="s">
        <v>50</v>
      </c>
      <c r="B120" s="3">
        <v>35000</v>
      </c>
    </row>
    <row r="121" spans="1:3" x14ac:dyDescent="0.25">
      <c r="A121" s="26" t="s">
        <v>38</v>
      </c>
      <c r="B121" s="3">
        <v>20000</v>
      </c>
      <c r="C121" s="2"/>
    </row>
    <row r="122" spans="1:3" x14ac:dyDescent="0.25">
      <c r="A122" s="26" t="s">
        <v>39</v>
      </c>
      <c r="B122" s="3">
        <v>80000</v>
      </c>
    </row>
    <row r="123" spans="1:3" x14ac:dyDescent="0.25">
      <c r="A123" s="65" t="s">
        <v>52</v>
      </c>
      <c r="B123" s="3">
        <v>50000</v>
      </c>
    </row>
    <row r="124" spans="1:3" x14ac:dyDescent="0.25">
      <c r="A124" s="65" t="s">
        <v>105</v>
      </c>
      <c r="B124" s="3">
        <v>20000</v>
      </c>
    </row>
    <row r="125" spans="1:3" x14ac:dyDescent="0.25">
      <c r="A125" s="65" t="s">
        <v>94</v>
      </c>
      <c r="B125" s="3">
        <v>20000</v>
      </c>
    </row>
    <row r="126" spans="1:3" x14ac:dyDescent="0.25">
      <c r="A126" s="6"/>
    </row>
    <row r="127" spans="1:3" x14ac:dyDescent="0.25">
      <c r="A127" s="28" t="s">
        <v>160</v>
      </c>
      <c r="B127" s="5">
        <v>100000</v>
      </c>
    </row>
    <row r="128" spans="1:3" x14ac:dyDescent="0.25">
      <c r="A128" s="4"/>
    </row>
    <row r="129" spans="1:3" x14ac:dyDescent="0.25">
      <c r="A129" s="4" t="s">
        <v>161</v>
      </c>
      <c r="B129" s="5">
        <f>SUM(B130)</f>
        <v>160000</v>
      </c>
    </row>
    <row r="130" spans="1:3" x14ac:dyDescent="0.25">
      <c r="A130" s="27" t="s">
        <v>162</v>
      </c>
      <c r="B130" s="2">
        <v>160000</v>
      </c>
    </row>
    <row r="131" spans="1:3" x14ac:dyDescent="0.25">
      <c r="A131" s="27"/>
    </row>
    <row r="132" spans="1:3" x14ac:dyDescent="0.25">
      <c r="A132" s="22" t="s">
        <v>51</v>
      </c>
      <c r="B132" s="23">
        <f>SUM(B133:B136)</f>
        <v>1299000</v>
      </c>
    </row>
    <row r="133" spans="1:3" x14ac:dyDescent="0.25">
      <c r="A133" s="27" t="s">
        <v>163</v>
      </c>
      <c r="B133" s="24">
        <f>12*32000</f>
        <v>384000</v>
      </c>
    </row>
    <row r="134" spans="1:3" x14ac:dyDescent="0.25">
      <c r="A134" s="21" t="s">
        <v>121</v>
      </c>
      <c r="B134" s="24">
        <v>700000</v>
      </c>
    </row>
    <row r="135" spans="1:3" x14ac:dyDescent="0.25">
      <c r="A135" s="21" t="s">
        <v>118</v>
      </c>
      <c r="B135" s="24">
        <v>150000</v>
      </c>
    </row>
    <row r="136" spans="1:3" x14ac:dyDescent="0.25">
      <c r="A136" s="21" t="s">
        <v>196</v>
      </c>
      <c r="B136" s="24">
        <v>65000</v>
      </c>
    </row>
    <row r="137" spans="1:3" x14ac:dyDescent="0.25">
      <c r="B137" s="2" t="s">
        <v>197</v>
      </c>
    </row>
    <row r="138" spans="1:3" x14ac:dyDescent="0.25">
      <c r="A138" s="4" t="s">
        <v>53</v>
      </c>
      <c r="B138" s="5">
        <f>SUM(B139:B143)</f>
        <v>4651080</v>
      </c>
    </row>
    <row r="139" spans="1:3" x14ac:dyDescent="0.25">
      <c r="A139" s="21" t="s">
        <v>164</v>
      </c>
      <c r="B139" s="24">
        <f>4*33020</f>
        <v>132080</v>
      </c>
      <c r="C139" s="21"/>
    </row>
    <row r="140" spans="1:3" s="4" customFormat="1" x14ac:dyDescent="0.25">
      <c r="A140" s="21" t="s">
        <v>54</v>
      </c>
      <c r="B140" s="24">
        <v>400000</v>
      </c>
    </row>
    <row r="141" spans="1:3" s="4" customFormat="1" x14ac:dyDescent="0.25">
      <c r="A141" s="27" t="s">
        <v>167</v>
      </c>
      <c r="B141" s="2">
        <f>(12*300000)+300000</f>
        <v>3900000</v>
      </c>
    </row>
    <row r="142" spans="1:3" s="4" customFormat="1" x14ac:dyDescent="0.25">
      <c r="A142" s="27" t="s">
        <v>95</v>
      </c>
      <c r="B142" s="24">
        <v>75000</v>
      </c>
    </row>
    <row r="143" spans="1:3" s="4" customFormat="1" x14ac:dyDescent="0.25">
      <c r="A143" s="27" t="s">
        <v>166</v>
      </c>
      <c r="B143" s="24">
        <f>12*12000</f>
        <v>144000</v>
      </c>
    </row>
    <row r="145" spans="1:2" x14ac:dyDescent="0.25">
      <c r="A145" s="4" t="s">
        <v>57</v>
      </c>
      <c r="B145" s="5">
        <f>SUM(B146:B160)</f>
        <v>5290120</v>
      </c>
    </row>
    <row r="146" spans="1:2" x14ac:dyDescent="0.25">
      <c r="A146" s="27" t="s">
        <v>165</v>
      </c>
      <c r="B146" s="2">
        <f>12*7260</f>
        <v>87120</v>
      </c>
    </row>
    <row r="147" spans="1:2" x14ac:dyDescent="0.25">
      <c r="A147" s="27" t="s">
        <v>58</v>
      </c>
      <c r="B147" s="2">
        <v>82000</v>
      </c>
    </row>
    <row r="148" spans="1:2" s="4" customFormat="1" x14ac:dyDescent="0.25">
      <c r="A148" s="27" t="s">
        <v>59</v>
      </c>
      <c r="B148" s="2">
        <v>600000</v>
      </c>
    </row>
    <row r="149" spans="1:2" x14ac:dyDescent="0.25">
      <c r="A149" s="27" t="s">
        <v>60</v>
      </c>
      <c r="B149" s="2">
        <v>141000</v>
      </c>
    </row>
    <row r="150" spans="1:2" s="4" customFormat="1" ht="31.5" x14ac:dyDescent="0.25">
      <c r="A150" s="60" t="s">
        <v>101</v>
      </c>
      <c r="B150" s="24">
        <v>600000</v>
      </c>
    </row>
    <row r="151" spans="1:2" x14ac:dyDescent="0.25">
      <c r="A151" s="27" t="s">
        <v>198</v>
      </c>
      <c r="B151" s="24">
        <f>600000+5*50000</f>
        <v>850000</v>
      </c>
    </row>
    <row r="152" spans="1:2" s="4" customFormat="1" x14ac:dyDescent="0.25">
      <c r="A152" s="27" t="s">
        <v>171</v>
      </c>
      <c r="B152" s="2">
        <v>60000</v>
      </c>
    </row>
    <row r="153" spans="1:2" x14ac:dyDescent="0.25">
      <c r="A153" s="21" t="s">
        <v>122</v>
      </c>
      <c r="B153" s="24">
        <v>560000</v>
      </c>
    </row>
    <row r="154" spans="1:2" x14ac:dyDescent="0.25">
      <c r="A154" s="27" t="s">
        <v>114</v>
      </c>
      <c r="B154" s="2">
        <v>470000</v>
      </c>
    </row>
    <row r="155" spans="1:2" x14ac:dyDescent="0.25">
      <c r="A155" s="27" t="s">
        <v>64</v>
      </c>
      <c r="B155" s="2">
        <v>220000</v>
      </c>
    </row>
    <row r="156" spans="1:2" x14ac:dyDescent="0.25">
      <c r="A156" s="27" t="s">
        <v>168</v>
      </c>
      <c r="B156" s="2">
        <v>400000</v>
      </c>
    </row>
    <row r="157" spans="1:2" x14ac:dyDescent="0.25">
      <c r="A157" s="21" t="s">
        <v>55</v>
      </c>
      <c r="B157" s="2">
        <v>200000</v>
      </c>
    </row>
    <row r="158" spans="1:2" x14ac:dyDescent="0.25">
      <c r="A158" s="1" t="s">
        <v>169</v>
      </c>
      <c r="B158" s="24">
        <v>50000</v>
      </c>
    </row>
    <row r="159" spans="1:2" s="21" customFormat="1" x14ac:dyDescent="0.25">
      <c r="A159" s="21" t="s">
        <v>170</v>
      </c>
      <c r="B159" s="24">
        <v>20000</v>
      </c>
    </row>
    <row r="160" spans="1:2" s="21" customFormat="1" x14ac:dyDescent="0.25">
      <c r="A160" s="27" t="s">
        <v>56</v>
      </c>
      <c r="B160" s="2">
        <v>950000</v>
      </c>
    </row>
    <row r="161" spans="1:2" x14ac:dyDescent="0.25">
      <c r="A161" s="27"/>
    </row>
    <row r="162" spans="1:2" x14ac:dyDescent="0.25">
      <c r="A162" s="28" t="s">
        <v>172</v>
      </c>
      <c r="B162" s="5">
        <v>100000</v>
      </c>
    </row>
    <row r="163" spans="1:2" x14ac:dyDescent="0.25">
      <c r="A163" s="27"/>
    </row>
    <row r="164" spans="1:2" s="4" customFormat="1" x14ac:dyDescent="0.25">
      <c r="A164" s="28" t="s">
        <v>61</v>
      </c>
      <c r="B164" s="5">
        <v>10000</v>
      </c>
    </row>
    <row r="166" spans="1:2" s="4" customFormat="1" x14ac:dyDescent="0.25">
      <c r="A166" s="28" t="s">
        <v>173</v>
      </c>
      <c r="B166" s="56">
        <f>20000000*0.25</f>
        <v>5000000</v>
      </c>
    </row>
    <row r="168" spans="1:2" x14ac:dyDescent="0.25">
      <c r="A168" s="4" t="s">
        <v>62</v>
      </c>
      <c r="B168" s="56">
        <v>1200000</v>
      </c>
    </row>
    <row r="170" spans="1:2" x14ac:dyDescent="0.25">
      <c r="A170" s="4" t="s">
        <v>63</v>
      </c>
      <c r="B170" s="5">
        <f>SUM(B171:B174)</f>
        <v>330940</v>
      </c>
    </row>
    <row r="171" spans="1:2" x14ac:dyDescent="0.25">
      <c r="A171" s="27" t="s">
        <v>174</v>
      </c>
      <c r="B171" s="24">
        <v>100000</v>
      </c>
    </row>
    <row r="172" spans="1:2" x14ac:dyDescent="0.25">
      <c r="A172" s="27" t="s">
        <v>106</v>
      </c>
      <c r="B172" s="2">
        <v>100000</v>
      </c>
    </row>
    <row r="173" spans="1:2" x14ac:dyDescent="0.25">
      <c r="A173" s="27" t="s">
        <v>175</v>
      </c>
      <c r="B173" s="2">
        <v>100000</v>
      </c>
    </row>
    <row r="174" spans="1:2" x14ac:dyDescent="0.25">
      <c r="A174" s="27" t="s">
        <v>90</v>
      </c>
      <c r="B174" s="24">
        <f>44.2*700</f>
        <v>30940.000000000004</v>
      </c>
    </row>
    <row r="176" spans="1:2" ht="18.75" x14ac:dyDescent="0.3">
      <c r="A176" s="7" t="s">
        <v>65</v>
      </c>
      <c r="B176" s="8">
        <f>B68+B70+B79+B91+B97+B127+B129+B132+B138+B145+B164+B166+B168+B170+B162</f>
        <v>31472532</v>
      </c>
    </row>
    <row r="178" spans="1:3" x14ac:dyDescent="0.25">
      <c r="A178" s="4" t="s">
        <v>66</v>
      </c>
      <c r="B178" s="5">
        <f>SUM(B179:B190)</f>
        <v>11985000</v>
      </c>
    </row>
    <row r="179" spans="1:3" x14ac:dyDescent="0.25">
      <c r="A179" s="1" t="s">
        <v>179</v>
      </c>
      <c r="B179" s="2">
        <v>40000</v>
      </c>
    </row>
    <row r="180" spans="1:3" x14ac:dyDescent="0.25">
      <c r="A180" s="27" t="s">
        <v>115</v>
      </c>
      <c r="B180" s="2">
        <v>100000</v>
      </c>
    </row>
    <row r="181" spans="1:3" x14ac:dyDescent="0.25">
      <c r="A181" s="27" t="s">
        <v>67</v>
      </c>
      <c r="B181" s="2">
        <v>1800000</v>
      </c>
    </row>
    <row r="182" spans="1:3" x14ac:dyDescent="0.25">
      <c r="A182" s="27" t="s">
        <v>68</v>
      </c>
      <c r="B182" s="2">
        <v>1900000</v>
      </c>
    </row>
    <row r="183" spans="1:3" x14ac:dyDescent="0.25">
      <c r="A183" s="27" t="s">
        <v>200</v>
      </c>
      <c r="B183" s="2">
        <v>2730000</v>
      </c>
    </row>
    <row r="184" spans="1:3" x14ac:dyDescent="0.25">
      <c r="A184" s="27" t="s">
        <v>69</v>
      </c>
      <c r="B184" s="24">
        <v>1200000</v>
      </c>
    </row>
    <row r="185" spans="1:3" x14ac:dyDescent="0.25">
      <c r="A185" s="27" t="s">
        <v>177</v>
      </c>
      <c r="B185" s="2">
        <v>360000</v>
      </c>
    </row>
    <row r="186" spans="1:3" x14ac:dyDescent="0.25">
      <c r="A186" s="27" t="s">
        <v>96</v>
      </c>
      <c r="B186" s="2">
        <v>800000</v>
      </c>
    </row>
    <row r="187" spans="1:3" x14ac:dyDescent="0.25">
      <c r="A187" s="27" t="s">
        <v>178</v>
      </c>
      <c r="B187" s="2">
        <v>175000</v>
      </c>
    </row>
    <row r="188" spans="1:3" x14ac:dyDescent="0.25">
      <c r="A188" s="27" t="s">
        <v>176</v>
      </c>
      <c r="B188" s="2">
        <v>1900000</v>
      </c>
    </row>
    <row r="189" spans="1:3" ht="31.5" customHeight="1" x14ac:dyDescent="0.25">
      <c r="A189" s="57" t="s">
        <v>201</v>
      </c>
      <c r="B189" s="58">
        <f>200000+480000</f>
        <v>680000</v>
      </c>
      <c r="C189" s="18"/>
    </row>
    <row r="190" spans="1:3" s="21" customFormat="1" ht="15.75" customHeight="1" x14ac:dyDescent="0.25">
      <c r="A190" s="57" t="s">
        <v>116</v>
      </c>
      <c r="B190" s="58">
        <v>300000</v>
      </c>
      <c r="C190" s="59"/>
    </row>
    <row r="192" spans="1:3" ht="18.75" x14ac:dyDescent="0.3">
      <c r="A192" s="11" t="s">
        <v>70</v>
      </c>
      <c r="B192" s="8">
        <f>SUM(B178)</f>
        <v>11985000</v>
      </c>
    </row>
    <row r="195" spans="1:2" ht="18.75" x14ac:dyDescent="0.3">
      <c r="A195" s="10" t="s">
        <v>71</v>
      </c>
    </row>
    <row r="196" spans="1:2" x14ac:dyDescent="0.25">
      <c r="A196" s="4" t="s">
        <v>72</v>
      </c>
      <c r="B196" s="5">
        <f>SUM(B197:B200)</f>
        <v>40190434</v>
      </c>
    </row>
    <row r="197" spans="1:2" x14ac:dyDescent="0.25">
      <c r="A197" s="50" t="s">
        <v>117</v>
      </c>
      <c r="B197" s="24">
        <v>390000</v>
      </c>
    </row>
    <row r="198" spans="1:2" s="21" customFormat="1" x14ac:dyDescent="0.25">
      <c r="A198" s="50" t="s">
        <v>123</v>
      </c>
      <c r="B198" s="63">
        <v>9135497</v>
      </c>
    </row>
    <row r="199" spans="1:2" s="21" customFormat="1" x14ac:dyDescent="0.25">
      <c r="A199" s="50" t="s">
        <v>73</v>
      </c>
      <c r="B199" s="63">
        <v>30614937</v>
      </c>
    </row>
    <row r="200" spans="1:2" x14ac:dyDescent="0.25">
      <c r="A200" s="50" t="s">
        <v>107</v>
      </c>
      <c r="B200" s="51">
        <v>50000</v>
      </c>
    </row>
    <row r="202" spans="1:2" x14ac:dyDescent="0.25">
      <c r="A202" s="4" t="s">
        <v>74</v>
      </c>
      <c r="B202" s="2">
        <f>SUM(B203:B205)</f>
        <v>1130000</v>
      </c>
    </row>
    <row r="203" spans="1:2" x14ac:dyDescent="0.25">
      <c r="A203" s="26" t="s">
        <v>88</v>
      </c>
      <c r="B203" s="3">
        <v>500000</v>
      </c>
    </row>
    <row r="204" spans="1:2" s="21" customFormat="1" x14ac:dyDescent="0.25">
      <c r="A204" s="50" t="s">
        <v>97</v>
      </c>
      <c r="B204" s="51">
        <v>500000</v>
      </c>
    </row>
    <row r="205" spans="1:2" s="21" customFormat="1" x14ac:dyDescent="0.25">
      <c r="A205" s="50" t="s">
        <v>126</v>
      </c>
      <c r="B205" s="51">
        <v>130000</v>
      </c>
    </row>
    <row r="207" spans="1:2" ht="18.75" x14ac:dyDescent="0.3">
      <c r="A207" s="19" t="s">
        <v>75</v>
      </c>
      <c r="B207" s="20">
        <f>B196+B202</f>
        <v>41320434</v>
      </c>
    </row>
    <row r="208" spans="1:2" s="21" customFormat="1" ht="18.75" x14ac:dyDescent="0.3">
      <c r="A208" s="19"/>
      <c r="B208" s="20"/>
    </row>
    <row r="209" spans="1:2" x14ac:dyDescent="0.25">
      <c r="A209" s="21"/>
      <c r="B209" s="24"/>
    </row>
    <row r="210" spans="1:2" ht="20.25" x14ac:dyDescent="0.3">
      <c r="A210" s="32" t="s">
        <v>76</v>
      </c>
      <c r="B210" s="33">
        <f>B207+B192+B176+B64+B47</f>
        <v>113909555.56</v>
      </c>
    </row>
    <row r="211" spans="1:2" x14ac:dyDescent="0.25">
      <c r="A211" s="21"/>
      <c r="B211" s="24"/>
    </row>
    <row r="212" spans="1:2" ht="18.75" x14ac:dyDescent="0.3">
      <c r="A212" s="34" t="s">
        <v>78</v>
      </c>
      <c r="B212" s="35"/>
    </row>
    <row r="213" spans="1:2" ht="18.75" x14ac:dyDescent="0.3">
      <c r="A213" s="34"/>
      <c r="B213" s="35"/>
    </row>
    <row r="214" spans="1:2" x14ac:dyDescent="0.25">
      <c r="A214" s="21" t="s">
        <v>89</v>
      </c>
      <c r="B214" s="24">
        <v>121327300</v>
      </c>
    </row>
    <row r="215" spans="1:2" ht="18.75" x14ac:dyDescent="0.3">
      <c r="A215" s="19" t="s">
        <v>79</v>
      </c>
      <c r="B215" s="20">
        <f>SUM(B214:B214)</f>
        <v>121327300</v>
      </c>
    </row>
    <row r="216" spans="1:2" x14ac:dyDescent="0.25">
      <c r="A216" s="21"/>
      <c r="B216" s="24"/>
    </row>
    <row r="217" spans="1:2" ht="18.75" x14ac:dyDescent="0.3">
      <c r="A217" s="19" t="s">
        <v>83</v>
      </c>
      <c r="B217" s="20">
        <v>3000000</v>
      </c>
    </row>
    <row r="218" spans="1:2" x14ac:dyDescent="0.25">
      <c r="A218" s="21" t="s">
        <v>80</v>
      </c>
      <c r="B218" s="24">
        <v>3000000</v>
      </c>
    </row>
    <row r="219" spans="1:2" x14ac:dyDescent="0.25">
      <c r="A219" s="21"/>
      <c r="B219" s="24"/>
    </row>
    <row r="220" spans="1:2" ht="20.25" x14ac:dyDescent="0.3">
      <c r="A220" s="32" t="s">
        <v>81</v>
      </c>
      <c r="B220" s="33">
        <f>B217+B215</f>
        <v>124327300</v>
      </c>
    </row>
    <row r="221" spans="1:2" x14ac:dyDescent="0.25">
      <c r="A221" s="21"/>
      <c r="B221" s="24"/>
    </row>
    <row r="222" spans="1:2" ht="20.25" x14ac:dyDescent="0.3">
      <c r="A222" s="32" t="s">
        <v>84</v>
      </c>
      <c r="B222" s="33">
        <f>SUM(B223:B224)</f>
        <v>35579052</v>
      </c>
    </row>
    <row r="223" spans="1:2" x14ac:dyDescent="0.25">
      <c r="A223" s="21" t="s">
        <v>103</v>
      </c>
      <c r="B223" s="24">
        <v>29454448</v>
      </c>
    </row>
    <row r="224" spans="1:2" x14ac:dyDescent="0.25">
      <c r="A224" s="62" t="s">
        <v>203</v>
      </c>
      <c r="B224" s="53">
        <v>6124604</v>
      </c>
    </row>
    <row r="225" spans="1:2" ht="20.25" x14ac:dyDescent="0.3">
      <c r="A225" s="32" t="s">
        <v>82</v>
      </c>
      <c r="B225" s="33">
        <f>B210+B220+B222</f>
        <v>273815907.56</v>
      </c>
    </row>
    <row r="231" spans="1:2" x14ac:dyDescent="0.25">
      <c r="B231" s="5"/>
    </row>
  </sheetData>
  <mergeCells count="2">
    <mergeCell ref="A1:B1"/>
    <mergeCell ref="A2:B2"/>
  </mergeCells>
  <pageMargins left="0.25" right="0.25" top="0.75" bottom="0.75" header="0.3" footer="0.3"/>
  <pageSetup paperSize="9" scale="97" fitToHeight="0" orientation="portrait" r:id="rId1"/>
  <headerFooter>
    <oddFooter>&amp;C&amp;"Times New Roman,Normál"&amp;P/&amp;N</oddFooter>
  </headerFooter>
  <rowBreaks count="5" manualBreakCount="5">
    <brk id="47" max="1" man="1"/>
    <brk id="90" max="1" man="1"/>
    <brk id="134" max="1" man="1"/>
    <brk id="176" max="16383" man="1"/>
    <brk id="2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tabSelected="1" view="pageBreakPreview" topLeftCell="A32" zoomScale="60" zoomScaleNormal="100" workbookViewId="0">
      <selection activeCell="A220" sqref="A220"/>
    </sheetView>
  </sheetViews>
  <sheetFormatPr defaultColWidth="9.140625" defaultRowHeight="15.75" x14ac:dyDescent="0.25"/>
  <cols>
    <col min="1" max="1" width="77.7109375" style="1" bestFit="1" customWidth="1"/>
    <col min="2" max="2" width="27.85546875" style="2" bestFit="1" customWidth="1"/>
    <col min="3" max="3" width="14.42578125" style="1" bestFit="1" customWidth="1"/>
    <col min="4" max="4" width="9.140625" style="1"/>
    <col min="5" max="5" width="22.140625" style="1" bestFit="1" customWidth="1"/>
    <col min="6" max="6" width="18.5703125" style="1" bestFit="1" customWidth="1"/>
    <col min="7" max="7" width="9.140625" style="1"/>
    <col min="8" max="8" width="10.140625" style="1" bestFit="1" customWidth="1"/>
    <col min="9" max="16384" width="9.140625" style="1"/>
  </cols>
  <sheetData>
    <row r="1" spans="1:6" ht="21" thickBot="1" x14ac:dyDescent="0.35">
      <c r="A1" s="81" t="s">
        <v>280</v>
      </c>
      <c r="B1" s="81"/>
    </row>
    <row r="2" spans="1:6" s="13" customFormat="1" ht="21" thickTop="1" x14ac:dyDescent="0.3">
      <c r="A2" s="77"/>
      <c r="B2" s="77"/>
    </row>
    <row r="3" spans="1:6" ht="21" thickBot="1" x14ac:dyDescent="0.35">
      <c r="A3" s="68" t="s">
        <v>1</v>
      </c>
      <c r="B3" s="17" t="s">
        <v>0</v>
      </c>
    </row>
    <row r="4" spans="1:6" ht="19.5" thickTop="1" x14ac:dyDescent="0.3">
      <c r="A4" s="9" t="s">
        <v>28</v>
      </c>
      <c r="B4" s="5">
        <f>SUM(B5+B9+B15+B21+B19)</f>
        <v>23372340</v>
      </c>
    </row>
    <row r="5" spans="1:6" x14ac:dyDescent="0.25">
      <c r="A5" s="4" t="s">
        <v>29</v>
      </c>
      <c r="B5" s="5">
        <f>B6+B7</f>
        <v>3588000</v>
      </c>
    </row>
    <row r="6" spans="1:6" x14ac:dyDescent="0.25">
      <c r="A6" s="26" t="s">
        <v>223</v>
      </c>
      <c r="B6" s="51">
        <f>12*260000</f>
        <v>3120000</v>
      </c>
      <c r="E6" s="1" t="s">
        <v>287</v>
      </c>
    </row>
    <row r="7" spans="1:6" x14ac:dyDescent="0.25">
      <c r="A7" s="26" t="s">
        <v>224</v>
      </c>
      <c r="B7" s="51">
        <f>12*39000</f>
        <v>468000</v>
      </c>
      <c r="E7" s="1" t="s">
        <v>288</v>
      </c>
      <c r="F7" s="2">
        <v>11458800</v>
      </c>
    </row>
    <row r="8" spans="1:6" x14ac:dyDescent="0.25">
      <c r="B8" s="24"/>
      <c r="E8" s="1" t="s">
        <v>289</v>
      </c>
      <c r="F8" s="24">
        <f>12*66000</f>
        <v>792000</v>
      </c>
    </row>
    <row r="9" spans="1:6" x14ac:dyDescent="0.25">
      <c r="A9" s="4" t="s">
        <v>30</v>
      </c>
      <c r="B9" s="23">
        <f>SUM(B10:B13)</f>
        <v>11458800</v>
      </c>
      <c r="E9" s="1" t="s">
        <v>290</v>
      </c>
      <c r="F9" s="2">
        <f>12*50000</f>
        <v>600000</v>
      </c>
    </row>
    <row r="10" spans="1:6" x14ac:dyDescent="0.25">
      <c r="A10" s="26" t="s">
        <v>225</v>
      </c>
      <c r="B10" s="51">
        <f>12*321000</f>
        <v>3852000</v>
      </c>
      <c r="E10" s="1" t="s">
        <v>291</v>
      </c>
      <c r="F10" s="79">
        <v>1530000</v>
      </c>
    </row>
    <row r="11" spans="1:6" x14ac:dyDescent="0.25">
      <c r="A11" s="26" t="s">
        <v>226</v>
      </c>
      <c r="B11" s="51">
        <f>12*235000</f>
        <v>2820000</v>
      </c>
      <c r="E11" s="1" t="s">
        <v>292</v>
      </c>
      <c r="F11" s="79">
        <f>(F7+F8+F9)*0.13+(F10*0.3599)</f>
        <v>2221251</v>
      </c>
    </row>
    <row r="12" spans="1:6" x14ac:dyDescent="0.25">
      <c r="A12" s="26" t="s">
        <v>227</v>
      </c>
      <c r="B12" s="51">
        <f>12*286000</f>
        <v>3432000</v>
      </c>
      <c r="E12" s="1" t="s">
        <v>293</v>
      </c>
      <c r="F12" s="79">
        <v>45000000</v>
      </c>
    </row>
    <row r="13" spans="1:6" x14ac:dyDescent="0.25">
      <c r="A13" s="26" t="s">
        <v>228</v>
      </c>
      <c r="B13" s="51">
        <f>12*112900</f>
        <v>1354800</v>
      </c>
      <c r="E13" s="1" t="s">
        <v>294</v>
      </c>
      <c r="F13" s="79">
        <v>12200000</v>
      </c>
    </row>
    <row r="14" spans="1:6" x14ac:dyDescent="0.25">
      <c r="B14" s="24"/>
      <c r="E14" s="1" t="s">
        <v>295</v>
      </c>
      <c r="F14" s="79">
        <v>5200000</v>
      </c>
    </row>
    <row r="15" spans="1:6" x14ac:dyDescent="0.25">
      <c r="A15" s="4" t="s">
        <v>31</v>
      </c>
      <c r="B15" s="23">
        <f>SUM(B16:B17)</f>
        <v>5467540</v>
      </c>
      <c r="E15" s="1" t="s">
        <v>296</v>
      </c>
      <c r="F15" s="2">
        <f>SUM(F7:F14)</f>
        <v>79002051</v>
      </c>
    </row>
    <row r="16" spans="1:6" x14ac:dyDescent="0.25">
      <c r="A16" s="26" t="s">
        <v>286</v>
      </c>
      <c r="B16" s="51">
        <f>9*2*81530</f>
        <v>1467540</v>
      </c>
    </row>
    <row r="17" spans="1:2" x14ac:dyDescent="0.25">
      <c r="A17" s="50" t="s">
        <v>282</v>
      </c>
      <c r="B17" s="51">
        <f>4*10*100000</f>
        <v>4000000</v>
      </c>
    </row>
    <row r="18" spans="1:2" x14ac:dyDescent="0.25">
      <c r="A18" s="50"/>
      <c r="B18" s="51"/>
    </row>
    <row r="19" spans="1:2" s="4" customFormat="1" x14ac:dyDescent="0.25">
      <c r="A19" s="22" t="s">
        <v>229</v>
      </c>
      <c r="B19" s="23">
        <f>12*234000</f>
        <v>2808000</v>
      </c>
    </row>
    <row r="20" spans="1:2" x14ac:dyDescent="0.25">
      <c r="A20" s="50"/>
      <c r="B20" s="51"/>
    </row>
    <row r="21" spans="1:2" x14ac:dyDescent="0.25">
      <c r="A21" s="54" t="s">
        <v>113</v>
      </c>
      <c r="B21" s="55">
        <v>50000</v>
      </c>
    </row>
    <row r="22" spans="1:2" x14ac:dyDescent="0.25">
      <c r="A22" s="54"/>
      <c r="B22" s="55"/>
    </row>
    <row r="23" spans="1:2" ht="18.75" x14ac:dyDescent="0.3">
      <c r="A23" s="34" t="s">
        <v>32</v>
      </c>
      <c r="B23" s="20">
        <f>SUM(B24,B28)</f>
        <v>1377402</v>
      </c>
    </row>
    <row r="24" spans="1:2" x14ac:dyDescent="0.25">
      <c r="A24" s="4" t="s">
        <v>33</v>
      </c>
      <c r="B24" s="5">
        <f>SUM(B25:B26)</f>
        <v>713340</v>
      </c>
    </row>
    <row r="25" spans="1:2" x14ac:dyDescent="0.25">
      <c r="A25" s="26" t="s">
        <v>230</v>
      </c>
      <c r="B25" s="3">
        <f>B9*0.6/12</f>
        <v>572940</v>
      </c>
    </row>
    <row r="26" spans="1:2" x14ac:dyDescent="0.25">
      <c r="A26" s="26" t="s">
        <v>231</v>
      </c>
      <c r="B26" s="3">
        <f>234000*0.6</f>
        <v>140400</v>
      </c>
    </row>
    <row r="27" spans="1:2" x14ac:dyDescent="0.25">
      <c r="A27" s="26"/>
      <c r="B27" s="3"/>
    </row>
    <row r="28" spans="1:2" x14ac:dyDescent="0.25">
      <c r="A28" s="22" t="s">
        <v>195</v>
      </c>
      <c r="B28" s="5">
        <f>SUM(B29:B33)</f>
        <v>664062</v>
      </c>
    </row>
    <row r="29" spans="1:2" x14ac:dyDescent="0.25">
      <c r="A29" s="26" t="s">
        <v>108</v>
      </c>
      <c r="B29" s="3">
        <v>156250</v>
      </c>
    </row>
    <row r="30" spans="1:2" x14ac:dyDescent="0.25">
      <c r="A30" s="26" t="s">
        <v>109</v>
      </c>
      <c r="B30" s="3">
        <v>156250</v>
      </c>
    </row>
    <row r="31" spans="1:2" x14ac:dyDescent="0.25">
      <c r="A31" s="26" t="s">
        <v>109</v>
      </c>
      <c r="B31" s="3">
        <f>156250/2</f>
        <v>78125</v>
      </c>
    </row>
    <row r="32" spans="1:2" x14ac:dyDescent="0.25">
      <c r="A32" s="26" t="s">
        <v>199</v>
      </c>
      <c r="B32" s="3">
        <v>156250</v>
      </c>
    </row>
    <row r="33" spans="1:2" x14ac:dyDescent="0.25">
      <c r="A33" s="26" t="s">
        <v>232</v>
      </c>
      <c r="B33" s="3">
        <v>117187</v>
      </c>
    </row>
    <row r="35" spans="1:2" ht="18.75" x14ac:dyDescent="0.3">
      <c r="A35" s="34" t="s">
        <v>34</v>
      </c>
      <c r="B35" s="20">
        <f>SUM(B36:B39)</f>
        <v>5135000</v>
      </c>
    </row>
    <row r="36" spans="1:2" x14ac:dyDescent="0.25">
      <c r="A36" s="27" t="s">
        <v>254</v>
      </c>
      <c r="B36" s="24">
        <f>12*66000</f>
        <v>792000</v>
      </c>
    </row>
    <row r="37" spans="1:2" x14ac:dyDescent="0.25">
      <c r="A37" s="27" t="s">
        <v>253</v>
      </c>
      <c r="B37" s="24">
        <f>1403000+12*50000+12*50000</f>
        <v>2603000</v>
      </c>
    </row>
    <row r="38" spans="1:2" x14ac:dyDescent="0.25">
      <c r="A38" s="27" t="s">
        <v>255</v>
      </c>
      <c r="B38" s="24">
        <f>12*25000</f>
        <v>300000</v>
      </c>
    </row>
    <row r="39" spans="1:2" x14ac:dyDescent="0.25">
      <c r="A39" s="27" t="s">
        <v>233</v>
      </c>
      <c r="B39" s="2">
        <f>12*30000*4</f>
        <v>1440000</v>
      </c>
    </row>
    <row r="40" spans="1:2" x14ac:dyDescent="0.25">
      <c r="A40" s="52"/>
      <c r="B40" s="51"/>
    </row>
    <row r="41" spans="1:2" ht="18.75" x14ac:dyDescent="0.3">
      <c r="A41" s="34" t="s">
        <v>41</v>
      </c>
      <c r="B41" s="20">
        <f>SUM(B42:B44)</f>
        <v>1530000</v>
      </c>
    </row>
    <row r="42" spans="1:2" x14ac:dyDescent="0.25">
      <c r="A42" s="27" t="s">
        <v>42</v>
      </c>
      <c r="B42" s="2">
        <v>500000</v>
      </c>
    </row>
    <row r="43" spans="1:2" x14ac:dyDescent="0.25">
      <c r="A43" s="27" t="s">
        <v>39</v>
      </c>
      <c r="B43" s="2">
        <v>30000</v>
      </c>
    </row>
    <row r="44" spans="1:2" x14ac:dyDescent="0.25">
      <c r="A44" s="27" t="s">
        <v>85</v>
      </c>
      <c r="B44" s="24">
        <v>1000000</v>
      </c>
    </row>
    <row r="45" spans="1:2" x14ac:dyDescent="0.25">
      <c r="A45" s="27"/>
    </row>
    <row r="46" spans="1:2" ht="18.75" x14ac:dyDescent="0.3">
      <c r="A46" s="7" t="s">
        <v>35</v>
      </c>
      <c r="B46" s="8">
        <f>B4+B23+B35+B41</f>
        <v>31414742</v>
      </c>
    </row>
    <row r="47" spans="1:2" s="21" customFormat="1" ht="18.75" x14ac:dyDescent="0.3">
      <c r="A47" s="19"/>
      <c r="B47" s="20"/>
    </row>
    <row r="48" spans="1:2" ht="18.75" x14ac:dyDescent="0.3">
      <c r="A48" s="9" t="s">
        <v>36</v>
      </c>
      <c r="B48" s="5"/>
    </row>
    <row r="49" spans="1:2" x14ac:dyDescent="0.25">
      <c r="A49" s="22" t="s">
        <v>234</v>
      </c>
      <c r="B49" s="5">
        <f>B50+B51+B52+B53+B54</f>
        <v>3273574.2</v>
      </c>
    </row>
    <row r="50" spans="1:2" x14ac:dyDescent="0.25">
      <c r="A50" s="27" t="s">
        <v>30</v>
      </c>
      <c r="B50" s="24">
        <f>B9*0.13</f>
        <v>1489644</v>
      </c>
    </row>
    <row r="51" spans="1:2" x14ac:dyDescent="0.25">
      <c r="A51" s="27" t="s">
        <v>31</v>
      </c>
      <c r="B51" s="24">
        <f>B15*0.13</f>
        <v>710780.20000000007</v>
      </c>
    </row>
    <row r="52" spans="1:2" x14ac:dyDescent="0.25">
      <c r="A52" s="27" t="s">
        <v>85</v>
      </c>
      <c r="B52" s="2">
        <f>(B37+B38)*0.13</f>
        <v>377390</v>
      </c>
    </row>
    <row r="53" spans="1:2" x14ac:dyDescent="0.25">
      <c r="A53" s="27" t="s">
        <v>39</v>
      </c>
      <c r="B53" s="24">
        <f>B36*0.13</f>
        <v>102960</v>
      </c>
    </row>
    <row r="54" spans="1:2" x14ac:dyDescent="0.25">
      <c r="A54" s="27" t="s">
        <v>29</v>
      </c>
      <c r="B54" s="2">
        <f>SUM(B55:B56)</f>
        <v>592800</v>
      </c>
    </row>
    <row r="55" spans="1:2" x14ac:dyDescent="0.25">
      <c r="A55" s="26" t="s">
        <v>99</v>
      </c>
      <c r="B55" s="51">
        <f>B6*0.13</f>
        <v>405600</v>
      </c>
    </row>
    <row r="56" spans="1:2" x14ac:dyDescent="0.25">
      <c r="A56" s="26" t="s">
        <v>100</v>
      </c>
      <c r="B56" s="51">
        <f>B39*0.13</f>
        <v>187200</v>
      </c>
    </row>
    <row r="58" spans="1:2" x14ac:dyDescent="0.25">
      <c r="A58" s="27" t="s">
        <v>235</v>
      </c>
      <c r="B58" s="24">
        <f>B28*0.28</f>
        <v>185937.36000000002</v>
      </c>
    </row>
    <row r="60" spans="1:2" s="31" customFormat="1" x14ac:dyDescent="0.25">
      <c r="A60" s="30" t="s">
        <v>236</v>
      </c>
      <c r="B60" s="61">
        <f>B41*0.3599</f>
        <v>550647</v>
      </c>
    </row>
    <row r="62" spans="1:2" ht="18.75" x14ac:dyDescent="0.3">
      <c r="A62" s="7" t="s">
        <v>77</v>
      </c>
      <c r="B62" s="8">
        <f>B60+B58+B49</f>
        <v>4010158.56</v>
      </c>
    </row>
    <row r="64" spans="1:2" ht="18.75" x14ac:dyDescent="0.3">
      <c r="A64" s="34" t="s">
        <v>40</v>
      </c>
      <c r="B64" s="5"/>
    </row>
    <row r="66" spans="1:2" s="4" customFormat="1" x14ac:dyDescent="0.25">
      <c r="A66" s="4" t="s">
        <v>132</v>
      </c>
      <c r="B66" s="5">
        <v>10000</v>
      </c>
    </row>
    <row r="67" spans="1:2" s="4" customFormat="1" x14ac:dyDescent="0.25">
      <c r="A67" s="27"/>
      <c r="B67" s="2"/>
    </row>
    <row r="68" spans="1:2" x14ac:dyDescent="0.25">
      <c r="A68" s="4" t="s">
        <v>133</v>
      </c>
      <c r="B68" s="5">
        <f>SUM(B69:B73)</f>
        <v>3450000</v>
      </c>
    </row>
    <row r="69" spans="1:2" s="4" customFormat="1" x14ac:dyDescent="0.25">
      <c r="A69" s="27" t="s">
        <v>137</v>
      </c>
      <c r="B69" s="2">
        <v>1100000</v>
      </c>
    </row>
    <row r="70" spans="1:2" x14ac:dyDescent="0.25">
      <c r="A70" s="1" t="s">
        <v>134</v>
      </c>
      <c r="B70" s="2">
        <v>350000</v>
      </c>
    </row>
    <row r="71" spans="1:2" s="4" customFormat="1" x14ac:dyDescent="0.25">
      <c r="A71" s="27" t="s">
        <v>135</v>
      </c>
      <c r="B71" s="2">
        <v>250000</v>
      </c>
    </row>
    <row r="72" spans="1:2" s="4" customFormat="1" x14ac:dyDescent="0.25">
      <c r="A72" s="27" t="s">
        <v>136</v>
      </c>
      <c r="B72" s="2">
        <v>100000</v>
      </c>
    </row>
    <row r="73" spans="1:2" s="4" customFormat="1" x14ac:dyDescent="0.25">
      <c r="A73" s="27" t="s">
        <v>237</v>
      </c>
      <c r="B73" s="2">
        <v>1650000</v>
      </c>
    </row>
    <row r="74" spans="1:2" x14ac:dyDescent="0.25">
      <c r="B74" s="24"/>
    </row>
    <row r="75" spans="1:2" x14ac:dyDescent="0.25">
      <c r="A75" s="4" t="s">
        <v>141</v>
      </c>
      <c r="B75" s="23">
        <f>B76+B77+B82+B83+B84</f>
        <v>2025800</v>
      </c>
    </row>
    <row r="76" spans="1:2" x14ac:dyDescent="0.25">
      <c r="A76" s="1" t="s">
        <v>142</v>
      </c>
      <c r="B76" s="24">
        <f>12*10000</f>
        <v>120000</v>
      </c>
    </row>
    <row r="77" spans="1:2" x14ac:dyDescent="0.25">
      <c r="A77" s="1" t="s">
        <v>239</v>
      </c>
      <c r="B77" s="23">
        <f>SUM(B78:B81)</f>
        <v>970800</v>
      </c>
    </row>
    <row r="78" spans="1:2" x14ac:dyDescent="0.25">
      <c r="A78" s="26" t="s">
        <v>240</v>
      </c>
      <c r="B78" s="51">
        <v>480000</v>
      </c>
    </row>
    <row r="79" spans="1:2" x14ac:dyDescent="0.25">
      <c r="A79" s="64" t="s">
        <v>238</v>
      </c>
      <c r="B79" s="3">
        <f>12*6900</f>
        <v>82800</v>
      </c>
    </row>
    <row r="80" spans="1:2" x14ac:dyDescent="0.25">
      <c r="A80" s="50" t="s">
        <v>241</v>
      </c>
      <c r="B80" s="51">
        <f>24000*12</f>
        <v>288000</v>
      </c>
    </row>
    <row r="81" spans="1:3" x14ac:dyDescent="0.25">
      <c r="A81" s="50" t="s">
        <v>242</v>
      </c>
      <c r="B81" s="51">
        <f>10000*12</f>
        <v>120000</v>
      </c>
    </row>
    <row r="82" spans="1:3" x14ac:dyDescent="0.25">
      <c r="A82" s="21" t="s">
        <v>146</v>
      </c>
      <c r="B82" s="24">
        <v>15000</v>
      </c>
    </row>
    <row r="83" spans="1:3" x14ac:dyDescent="0.25">
      <c r="A83" s="21" t="s">
        <v>243</v>
      </c>
      <c r="B83" s="24">
        <f>12*70000</f>
        <v>840000</v>
      </c>
    </row>
    <row r="84" spans="1:3" x14ac:dyDescent="0.25">
      <c r="A84" s="21" t="s">
        <v>148</v>
      </c>
      <c r="B84" s="24">
        <v>80000</v>
      </c>
    </row>
    <row r="85" spans="1:3" x14ac:dyDescent="0.25">
      <c r="A85" s="27"/>
      <c r="B85" s="24"/>
    </row>
    <row r="86" spans="1:3" x14ac:dyDescent="0.25">
      <c r="A86" s="28" t="s">
        <v>149</v>
      </c>
      <c r="B86" s="23">
        <f>B87+B89+B88</f>
        <v>2440000</v>
      </c>
    </row>
    <row r="87" spans="1:3" x14ac:dyDescent="0.25">
      <c r="A87" s="21" t="s">
        <v>152</v>
      </c>
      <c r="B87" s="24">
        <v>2400000</v>
      </c>
    </row>
    <row r="88" spans="1:3" x14ac:dyDescent="0.25">
      <c r="A88" s="27" t="s">
        <v>244</v>
      </c>
      <c r="B88" s="2">
        <v>20000</v>
      </c>
    </row>
    <row r="89" spans="1:3" x14ac:dyDescent="0.25">
      <c r="A89" s="27" t="s">
        <v>156</v>
      </c>
      <c r="B89" s="2">
        <v>20000</v>
      </c>
    </row>
    <row r="91" spans="1:3" x14ac:dyDescent="0.25">
      <c r="A91" s="4" t="s">
        <v>157</v>
      </c>
      <c r="B91" s="5">
        <f>SUM(B92+B103+B111)</f>
        <v>8490000</v>
      </c>
    </row>
    <row r="92" spans="1:3" x14ac:dyDescent="0.25">
      <c r="A92" s="27" t="s">
        <v>158</v>
      </c>
      <c r="B92" s="2">
        <f>SUM(B93:B102)</f>
        <v>1630000</v>
      </c>
    </row>
    <row r="93" spans="1:3" x14ac:dyDescent="0.25">
      <c r="A93" s="26" t="s">
        <v>43</v>
      </c>
      <c r="B93" s="3">
        <v>800000</v>
      </c>
    </row>
    <row r="94" spans="1:3" x14ac:dyDescent="0.25">
      <c r="A94" s="26" t="s">
        <v>119</v>
      </c>
      <c r="B94" s="3">
        <v>10000</v>
      </c>
    </row>
    <row r="95" spans="1:3" x14ac:dyDescent="0.25">
      <c r="A95" s="26" t="s">
        <v>120</v>
      </c>
      <c r="B95" s="3">
        <v>50000</v>
      </c>
    </row>
    <row r="96" spans="1:3" x14ac:dyDescent="0.25">
      <c r="A96" s="26" t="s">
        <v>44</v>
      </c>
      <c r="B96" s="3">
        <v>5000</v>
      </c>
      <c r="C96" s="2"/>
    </row>
    <row r="97" spans="1:3" x14ac:dyDescent="0.25">
      <c r="A97" s="26" t="s">
        <v>45</v>
      </c>
      <c r="B97" s="3">
        <v>5000</v>
      </c>
    </row>
    <row r="98" spans="1:3" x14ac:dyDescent="0.25">
      <c r="A98" s="26" t="s">
        <v>39</v>
      </c>
      <c r="B98" s="3">
        <v>50000</v>
      </c>
    </row>
    <row r="99" spans="1:3" ht="17.25" customHeight="1" x14ac:dyDescent="0.25">
      <c r="A99" s="26" t="s">
        <v>38</v>
      </c>
      <c r="B99" s="3">
        <v>50000</v>
      </c>
    </row>
    <row r="100" spans="1:3" x14ac:dyDescent="0.25">
      <c r="A100" s="65" t="s">
        <v>246</v>
      </c>
      <c r="B100" s="3">
        <v>50000</v>
      </c>
    </row>
    <row r="101" spans="1:3" x14ac:dyDescent="0.25">
      <c r="A101" s="65" t="s">
        <v>247</v>
      </c>
      <c r="B101" s="3">
        <v>10000</v>
      </c>
    </row>
    <row r="102" spans="1:3" x14ac:dyDescent="0.25">
      <c r="A102" s="65" t="s">
        <v>248</v>
      </c>
      <c r="B102" s="3">
        <v>600000</v>
      </c>
    </row>
    <row r="103" spans="1:3" x14ac:dyDescent="0.25">
      <c r="A103" s="29" t="s">
        <v>47</v>
      </c>
      <c r="B103" s="24">
        <f>SUM(B104:B110)</f>
        <v>6250000</v>
      </c>
    </row>
    <row r="104" spans="1:3" x14ac:dyDescent="0.25">
      <c r="A104" s="26" t="s">
        <v>48</v>
      </c>
      <c r="B104" s="51">
        <v>1200000</v>
      </c>
    </row>
    <row r="105" spans="1:3" x14ac:dyDescent="0.25">
      <c r="A105" s="26" t="s">
        <v>44</v>
      </c>
      <c r="B105" s="3">
        <v>400000</v>
      </c>
    </row>
    <row r="106" spans="1:3" x14ac:dyDescent="0.25">
      <c r="A106" s="26" t="s">
        <v>45</v>
      </c>
      <c r="B106" s="3">
        <v>300000</v>
      </c>
    </row>
    <row r="107" spans="1:3" x14ac:dyDescent="0.25">
      <c r="A107" s="26" t="s">
        <v>38</v>
      </c>
      <c r="B107" s="3">
        <v>200000</v>
      </c>
      <c r="C107" s="2"/>
    </row>
    <row r="108" spans="1:3" x14ac:dyDescent="0.25">
      <c r="A108" s="26" t="s">
        <v>39</v>
      </c>
      <c r="B108" s="3">
        <v>2000000</v>
      </c>
    </row>
    <row r="109" spans="1:3" x14ac:dyDescent="0.25">
      <c r="A109" s="65" t="s">
        <v>46</v>
      </c>
      <c r="B109" s="3">
        <v>1600000</v>
      </c>
    </row>
    <row r="110" spans="1:3" x14ac:dyDescent="0.25">
      <c r="A110" s="65" t="s">
        <v>248</v>
      </c>
      <c r="B110" s="3">
        <v>550000</v>
      </c>
    </row>
    <row r="111" spans="1:3" x14ac:dyDescent="0.25">
      <c r="A111" s="1" t="s">
        <v>159</v>
      </c>
      <c r="B111" s="2">
        <f>SUM(B112:B119)</f>
        <v>610000</v>
      </c>
    </row>
    <row r="112" spans="1:3" x14ac:dyDescent="0.25">
      <c r="A112" s="26" t="s">
        <v>49</v>
      </c>
      <c r="B112" s="3">
        <v>20000</v>
      </c>
    </row>
    <row r="113" spans="1:3" x14ac:dyDescent="0.25">
      <c r="A113" s="26" t="s">
        <v>42</v>
      </c>
      <c r="B113" s="3">
        <v>200000</v>
      </c>
    </row>
    <row r="114" spans="1:3" x14ac:dyDescent="0.25">
      <c r="A114" s="26" t="s">
        <v>44</v>
      </c>
      <c r="B114" s="3">
        <v>30000</v>
      </c>
    </row>
    <row r="115" spans="1:3" x14ac:dyDescent="0.25">
      <c r="A115" s="26" t="s">
        <v>249</v>
      </c>
      <c r="B115" s="3">
        <v>80000</v>
      </c>
    </row>
    <row r="116" spans="1:3" x14ac:dyDescent="0.25">
      <c r="A116" s="26" t="s">
        <v>38</v>
      </c>
      <c r="B116" s="3">
        <v>20000</v>
      </c>
      <c r="C116" s="2"/>
    </row>
    <row r="117" spans="1:3" x14ac:dyDescent="0.25">
      <c r="A117" s="26" t="s">
        <v>39</v>
      </c>
      <c r="B117" s="3">
        <v>80000</v>
      </c>
    </row>
    <row r="118" spans="1:3" x14ac:dyDescent="0.25">
      <c r="A118" s="65" t="s">
        <v>245</v>
      </c>
      <c r="B118" s="3">
        <v>150000</v>
      </c>
    </row>
    <row r="119" spans="1:3" x14ac:dyDescent="0.25">
      <c r="A119" s="65" t="s">
        <v>105</v>
      </c>
      <c r="B119" s="3">
        <v>30000</v>
      </c>
    </row>
    <row r="120" spans="1:3" x14ac:dyDescent="0.25">
      <c r="A120" s="6"/>
    </row>
    <row r="121" spans="1:3" x14ac:dyDescent="0.25">
      <c r="A121" s="28" t="s">
        <v>160</v>
      </c>
      <c r="B121" s="5">
        <v>100000</v>
      </c>
    </row>
    <row r="122" spans="1:3" x14ac:dyDescent="0.25">
      <c r="A122" s="4"/>
    </row>
    <row r="123" spans="1:3" x14ac:dyDescent="0.25">
      <c r="A123" s="4" t="s">
        <v>161</v>
      </c>
      <c r="B123" s="5">
        <f>SUM(B124)</f>
        <v>250000</v>
      </c>
    </row>
    <row r="124" spans="1:3" x14ac:dyDescent="0.25">
      <c r="A124" s="27" t="s">
        <v>162</v>
      </c>
      <c r="B124" s="2">
        <v>250000</v>
      </c>
    </row>
    <row r="125" spans="1:3" x14ac:dyDescent="0.25">
      <c r="A125" s="27"/>
    </row>
    <row r="126" spans="1:3" x14ac:dyDescent="0.25">
      <c r="A126" s="22" t="s">
        <v>51</v>
      </c>
      <c r="B126" s="23">
        <f>SUM(B127:B132)</f>
        <v>24684000</v>
      </c>
    </row>
    <row r="127" spans="1:3" x14ac:dyDescent="0.25">
      <c r="A127" s="27" t="s">
        <v>163</v>
      </c>
      <c r="B127" s="24">
        <f>12*32000</f>
        <v>384000</v>
      </c>
    </row>
    <row r="128" spans="1:3" x14ac:dyDescent="0.25">
      <c r="A128" s="21" t="s">
        <v>121</v>
      </c>
      <c r="B128" s="24">
        <v>20000000</v>
      </c>
    </row>
    <row r="129" spans="1:3" x14ac:dyDescent="0.25">
      <c r="A129" s="21" t="s">
        <v>118</v>
      </c>
      <c r="B129" s="24">
        <v>1500000</v>
      </c>
    </row>
    <row r="130" spans="1:3" x14ac:dyDescent="0.25">
      <c r="A130" s="21" t="s">
        <v>196</v>
      </c>
      <c r="B130" s="24">
        <v>1800000</v>
      </c>
    </row>
    <row r="131" spans="1:3" x14ac:dyDescent="0.25">
      <c r="A131" s="21" t="s">
        <v>251</v>
      </c>
      <c r="B131" s="24">
        <v>400000</v>
      </c>
    </row>
    <row r="132" spans="1:3" x14ac:dyDescent="0.25">
      <c r="A132" s="21" t="s">
        <v>250</v>
      </c>
      <c r="B132" s="24">
        <v>600000</v>
      </c>
    </row>
    <row r="133" spans="1:3" x14ac:dyDescent="0.25">
      <c r="B133" s="2" t="s">
        <v>197</v>
      </c>
    </row>
    <row r="134" spans="1:3" x14ac:dyDescent="0.25">
      <c r="A134" s="4" t="s">
        <v>53</v>
      </c>
      <c r="B134" s="5">
        <f>SUM(B135:B139)</f>
        <v>3031080</v>
      </c>
    </row>
    <row r="135" spans="1:3" x14ac:dyDescent="0.25">
      <c r="A135" s="21" t="s">
        <v>164</v>
      </c>
      <c r="B135" s="24">
        <f>4*33020</f>
        <v>132080</v>
      </c>
      <c r="C135" s="21"/>
    </row>
    <row r="136" spans="1:3" s="4" customFormat="1" x14ac:dyDescent="0.25">
      <c r="A136" s="21" t="s">
        <v>54</v>
      </c>
      <c r="B136" s="24">
        <v>400000</v>
      </c>
    </row>
    <row r="137" spans="1:3" s="4" customFormat="1" ht="31.5" x14ac:dyDescent="0.25">
      <c r="A137" s="29" t="s">
        <v>256</v>
      </c>
      <c r="B137" s="2">
        <f>12*130000+600000+120000</f>
        <v>2280000</v>
      </c>
    </row>
    <row r="138" spans="1:3" s="4" customFormat="1" x14ac:dyDescent="0.25">
      <c r="A138" s="27" t="s">
        <v>95</v>
      </c>
      <c r="B138" s="24">
        <v>75000</v>
      </c>
    </row>
    <row r="139" spans="1:3" s="4" customFormat="1" x14ac:dyDescent="0.25">
      <c r="A139" s="27" t="s">
        <v>166</v>
      </c>
      <c r="B139" s="24">
        <f>12*12000</f>
        <v>144000</v>
      </c>
    </row>
    <row r="140" spans="1:3" s="4" customFormat="1" x14ac:dyDescent="0.25">
      <c r="A140" s="27" t="s">
        <v>268</v>
      </c>
      <c r="B140" s="24">
        <v>75000</v>
      </c>
    </row>
    <row r="142" spans="1:3" x14ac:dyDescent="0.25">
      <c r="A142" s="4" t="s">
        <v>57</v>
      </c>
      <c r="B142" s="5">
        <f>SUM(B143:B156)</f>
        <v>7073600</v>
      </c>
    </row>
    <row r="143" spans="1:3" x14ac:dyDescent="0.25">
      <c r="A143" s="27" t="s">
        <v>252</v>
      </c>
      <c r="B143" s="2">
        <f>12*8000</f>
        <v>96000</v>
      </c>
    </row>
    <row r="144" spans="1:3" s="4" customFormat="1" x14ac:dyDescent="0.25">
      <c r="A144" s="27" t="s">
        <v>59</v>
      </c>
      <c r="B144" s="2">
        <v>600000</v>
      </c>
    </row>
    <row r="145" spans="1:2" x14ac:dyDescent="0.25">
      <c r="A145" s="27" t="s">
        <v>60</v>
      </c>
      <c r="B145" s="2">
        <v>60000</v>
      </c>
    </row>
    <row r="146" spans="1:2" s="4" customFormat="1" ht="31.5" x14ac:dyDescent="0.25">
      <c r="A146" s="60" t="s">
        <v>101</v>
      </c>
      <c r="B146" s="24">
        <v>600000</v>
      </c>
    </row>
    <row r="147" spans="1:2" x14ac:dyDescent="0.25">
      <c r="A147" s="27" t="s">
        <v>257</v>
      </c>
      <c r="B147" s="24">
        <f>12*50000</f>
        <v>600000</v>
      </c>
    </row>
    <row r="148" spans="1:2" s="4" customFormat="1" x14ac:dyDescent="0.25">
      <c r="A148" s="27" t="s">
        <v>171</v>
      </c>
      <c r="B148" s="2">
        <v>70000</v>
      </c>
    </row>
    <row r="149" spans="1:2" x14ac:dyDescent="0.25">
      <c r="A149" s="21" t="s">
        <v>122</v>
      </c>
      <c r="B149" s="24">
        <v>2000000</v>
      </c>
    </row>
    <row r="150" spans="1:2" x14ac:dyDescent="0.25">
      <c r="A150" s="27" t="s">
        <v>114</v>
      </c>
      <c r="B150" s="2">
        <v>500000</v>
      </c>
    </row>
    <row r="151" spans="1:2" x14ac:dyDescent="0.25">
      <c r="A151" s="27" t="s">
        <v>64</v>
      </c>
      <c r="B151" s="2">
        <v>246600</v>
      </c>
    </row>
    <row r="152" spans="1:2" x14ac:dyDescent="0.25">
      <c r="A152" s="27" t="s">
        <v>168</v>
      </c>
      <c r="B152" s="2">
        <v>1000000</v>
      </c>
    </row>
    <row r="153" spans="1:2" x14ac:dyDescent="0.25">
      <c r="A153" s="21" t="s">
        <v>55</v>
      </c>
      <c r="B153" s="2">
        <v>200000</v>
      </c>
    </row>
    <row r="154" spans="1:2" x14ac:dyDescent="0.25">
      <c r="A154" s="1" t="s">
        <v>169</v>
      </c>
      <c r="B154" s="24">
        <v>50000</v>
      </c>
    </row>
    <row r="155" spans="1:2" s="21" customFormat="1" x14ac:dyDescent="0.25">
      <c r="A155" s="21" t="s">
        <v>170</v>
      </c>
      <c r="B155" s="24">
        <v>51000</v>
      </c>
    </row>
    <row r="156" spans="1:2" s="21" customFormat="1" x14ac:dyDescent="0.25">
      <c r="A156" s="27" t="s">
        <v>56</v>
      </c>
      <c r="B156" s="2">
        <v>1000000</v>
      </c>
    </row>
    <row r="157" spans="1:2" x14ac:dyDescent="0.25">
      <c r="A157" s="27"/>
    </row>
    <row r="158" spans="1:2" x14ac:dyDescent="0.25">
      <c r="A158" s="28" t="s">
        <v>172</v>
      </c>
      <c r="B158" s="5">
        <v>300000</v>
      </c>
    </row>
    <row r="159" spans="1:2" s="4" customFormat="1" x14ac:dyDescent="0.25">
      <c r="A159" s="28" t="s">
        <v>61</v>
      </c>
      <c r="B159" s="5">
        <v>400000</v>
      </c>
    </row>
    <row r="161" spans="1:2" s="4" customFormat="1" x14ac:dyDescent="0.25">
      <c r="A161" s="28" t="s">
        <v>258</v>
      </c>
      <c r="B161" s="56">
        <v>6000000</v>
      </c>
    </row>
    <row r="163" spans="1:2" x14ac:dyDescent="0.25">
      <c r="A163" s="4" t="s">
        <v>62</v>
      </c>
      <c r="B163" s="56">
        <v>1000000</v>
      </c>
    </row>
    <row r="165" spans="1:2" x14ac:dyDescent="0.25">
      <c r="A165" s="4" t="s">
        <v>63</v>
      </c>
      <c r="B165" s="5">
        <f>SUM(B166:B169)</f>
        <v>330940</v>
      </c>
    </row>
    <row r="166" spans="1:2" x14ac:dyDescent="0.25">
      <c r="A166" s="27" t="s">
        <v>279</v>
      </c>
      <c r="B166" s="24">
        <v>100000</v>
      </c>
    </row>
    <row r="167" spans="1:2" x14ac:dyDescent="0.25">
      <c r="A167" s="27" t="s">
        <v>106</v>
      </c>
      <c r="B167" s="2">
        <v>100000</v>
      </c>
    </row>
    <row r="168" spans="1:2" x14ac:dyDescent="0.25">
      <c r="A168" s="27" t="s">
        <v>175</v>
      </c>
      <c r="B168" s="2">
        <v>100000</v>
      </c>
    </row>
    <row r="169" spans="1:2" x14ac:dyDescent="0.25">
      <c r="A169" s="27" t="s">
        <v>90</v>
      </c>
      <c r="B169" s="24">
        <f>44.2*700</f>
        <v>30940.000000000004</v>
      </c>
    </row>
    <row r="171" spans="1:2" ht="18.75" x14ac:dyDescent="0.3">
      <c r="A171" s="7" t="s">
        <v>65</v>
      </c>
      <c r="B171" s="8">
        <f>B66+B68+B75+B86+B91+B121+B123+B126+B134+B142+B159+B161+B163+B165+B158</f>
        <v>59585420</v>
      </c>
    </row>
    <row r="173" spans="1:2" x14ac:dyDescent="0.25">
      <c r="A173" s="4" t="s">
        <v>66</v>
      </c>
      <c r="B173" s="5">
        <f>SUM(B174:B186)</f>
        <v>19858000</v>
      </c>
    </row>
    <row r="174" spans="1:2" x14ac:dyDescent="0.25">
      <c r="A174" s="1" t="s">
        <v>179</v>
      </c>
      <c r="B174" s="2">
        <v>40000</v>
      </c>
    </row>
    <row r="175" spans="1:2" x14ac:dyDescent="0.25">
      <c r="A175" s="27" t="s">
        <v>115</v>
      </c>
      <c r="B175" s="2">
        <v>70000</v>
      </c>
    </row>
    <row r="176" spans="1:2" x14ac:dyDescent="0.25">
      <c r="A176" s="27" t="s">
        <v>67</v>
      </c>
      <c r="B176" s="2">
        <v>1800000</v>
      </c>
    </row>
    <row r="177" spans="1:3" x14ac:dyDescent="0.25">
      <c r="A177" s="27" t="s">
        <v>68</v>
      </c>
      <c r="B177" s="2">
        <v>4033000</v>
      </c>
    </row>
    <row r="178" spans="1:3" x14ac:dyDescent="0.25">
      <c r="A178" s="27" t="s">
        <v>284</v>
      </c>
      <c r="B178" s="2">
        <v>4500000</v>
      </c>
    </row>
    <row r="179" spans="1:3" x14ac:dyDescent="0.25">
      <c r="A179" s="27" t="s">
        <v>276</v>
      </c>
      <c r="B179" s="24">
        <v>1956000</v>
      </c>
    </row>
    <row r="180" spans="1:3" x14ac:dyDescent="0.25">
      <c r="A180" s="27" t="s">
        <v>259</v>
      </c>
      <c r="B180" s="2">
        <f>7*6000*10</f>
        <v>420000</v>
      </c>
    </row>
    <row r="181" spans="1:3" x14ac:dyDescent="0.25">
      <c r="A181" s="27" t="s">
        <v>277</v>
      </c>
      <c r="B181" s="2">
        <f>12*72000</f>
        <v>864000</v>
      </c>
    </row>
    <row r="182" spans="1:3" x14ac:dyDescent="0.25">
      <c r="A182" s="27" t="s">
        <v>178</v>
      </c>
      <c r="B182" s="2">
        <v>175000</v>
      </c>
    </row>
    <row r="183" spans="1:3" x14ac:dyDescent="0.25">
      <c r="A183" s="27" t="s">
        <v>176</v>
      </c>
      <c r="B183" s="2">
        <v>4600000</v>
      </c>
    </row>
    <row r="184" spans="1:3" ht="31.5" customHeight="1" x14ac:dyDescent="0.25">
      <c r="A184" s="57" t="s">
        <v>278</v>
      </c>
      <c r="B184" s="58">
        <v>800000</v>
      </c>
      <c r="C184" s="18"/>
    </row>
    <row r="185" spans="1:3" ht="31.5" customHeight="1" x14ac:dyDescent="0.25">
      <c r="A185" s="57" t="s">
        <v>260</v>
      </c>
      <c r="B185" s="58">
        <v>300000</v>
      </c>
      <c r="C185" s="18"/>
    </row>
    <row r="186" spans="1:3" s="21" customFormat="1" ht="15.75" customHeight="1" x14ac:dyDescent="0.25">
      <c r="A186" s="57" t="s">
        <v>261</v>
      </c>
      <c r="B186" s="58">
        <v>300000</v>
      </c>
      <c r="C186" s="59"/>
    </row>
    <row r="188" spans="1:3" ht="18.75" x14ac:dyDescent="0.3">
      <c r="A188" s="11" t="s">
        <v>70</v>
      </c>
      <c r="B188" s="8">
        <f>SUM(B173)</f>
        <v>19858000</v>
      </c>
    </row>
    <row r="191" spans="1:3" ht="18.75" x14ac:dyDescent="0.3">
      <c r="A191" s="10" t="s">
        <v>71</v>
      </c>
    </row>
    <row r="192" spans="1:3" x14ac:dyDescent="0.25">
      <c r="A192" s="4" t="s">
        <v>72</v>
      </c>
      <c r="B192" s="5">
        <f>SUM(B193:B195)</f>
        <v>49611420</v>
      </c>
    </row>
    <row r="193" spans="1:2" x14ac:dyDescent="0.25">
      <c r="A193" s="50" t="s">
        <v>117</v>
      </c>
      <c r="B193" s="51">
        <v>214000</v>
      </c>
    </row>
    <row r="194" spans="1:2" s="21" customFormat="1" x14ac:dyDescent="0.25">
      <c r="A194" s="50" t="s">
        <v>123</v>
      </c>
      <c r="B194" s="63">
        <f>12288404+1192150</f>
        <v>13480554</v>
      </c>
    </row>
    <row r="195" spans="1:2" s="21" customFormat="1" x14ac:dyDescent="0.25">
      <c r="A195" s="50" t="s">
        <v>73</v>
      </c>
      <c r="B195" s="63">
        <v>35916866</v>
      </c>
    </row>
    <row r="197" spans="1:2" x14ac:dyDescent="0.25">
      <c r="A197" s="4" t="s">
        <v>74</v>
      </c>
      <c r="B197" s="2">
        <f>SUM(B198:B201)</f>
        <v>1104500</v>
      </c>
    </row>
    <row r="198" spans="1:2" x14ac:dyDescent="0.25">
      <c r="A198" s="26" t="s">
        <v>88</v>
      </c>
      <c r="B198" s="3">
        <v>100000</v>
      </c>
    </row>
    <row r="199" spans="1:2" x14ac:dyDescent="0.25">
      <c r="A199" s="26" t="s">
        <v>269</v>
      </c>
      <c r="B199" s="3">
        <v>200000</v>
      </c>
    </row>
    <row r="200" spans="1:2" s="21" customFormat="1" x14ac:dyDescent="0.25">
      <c r="A200" s="50" t="s">
        <v>97</v>
      </c>
      <c r="B200" s="51">
        <v>500000</v>
      </c>
    </row>
    <row r="201" spans="1:2" s="21" customFormat="1" x14ac:dyDescent="0.25">
      <c r="A201" s="50" t="s">
        <v>126</v>
      </c>
      <c r="B201" s="51">
        <v>304500</v>
      </c>
    </row>
    <row r="203" spans="1:2" ht="18.75" x14ac:dyDescent="0.3">
      <c r="A203" s="19" t="s">
        <v>75</v>
      </c>
      <c r="B203" s="20">
        <f>B192+B197</f>
        <v>50715920</v>
      </c>
    </row>
    <row r="204" spans="1:2" s="21" customFormat="1" ht="18.75" x14ac:dyDescent="0.3">
      <c r="A204" s="19"/>
      <c r="B204" s="20"/>
    </row>
    <row r="205" spans="1:2" s="21" customFormat="1" x14ac:dyDescent="0.25">
      <c r="A205" s="21" t="s">
        <v>265</v>
      </c>
      <c r="B205" s="24">
        <v>1844415</v>
      </c>
    </row>
    <row r="206" spans="1:2" s="21" customFormat="1" x14ac:dyDescent="0.25">
      <c r="A206" s="21" t="s">
        <v>267</v>
      </c>
      <c r="B206" s="24">
        <v>498166</v>
      </c>
    </row>
    <row r="207" spans="1:2" x14ac:dyDescent="0.25">
      <c r="A207" s="21"/>
      <c r="B207" s="24"/>
    </row>
    <row r="208" spans="1:2" ht="20.25" x14ac:dyDescent="0.3">
      <c r="A208" s="32" t="s">
        <v>76</v>
      </c>
      <c r="B208" s="33">
        <f>B203+B188+B171+B62+B46+B205+B206</f>
        <v>167926821.56</v>
      </c>
    </row>
    <row r="209" spans="1:2" x14ac:dyDescent="0.25">
      <c r="A209" s="21"/>
      <c r="B209" s="24"/>
    </row>
    <row r="210" spans="1:2" ht="18.75" x14ac:dyDescent="0.3">
      <c r="A210" s="34" t="s">
        <v>78</v>
      </c>
      <c r="B210" s="35"/>
    </row>
    <row r="211" spans="1:2" ht="18.75" x14ac:dyDescent="0.3">
      <c r="A211" s="34"/>
      <c r="B211" s="35"/>
    </row>
    <row r="212" spans="1:2" x14ac:dyDescent="0.25">
      <c r="A212" s="21" t="s">
        <v>263</v>
      </c>
      <c r="B212" s="24">
        <v>12998711</v>
      </c>
    </row>
    <row r="213" spans="1:2" x14ac:dyDescent="0.25">
      <c r="A213" s="21" t="s">
        <v>89</v>
      </c>
      <c r="B213" s="24">
        <f>SUM(B214:B220)</f>
        <v>96327300</v>
      </c>
    </row>
    <row r="214" spans="1:2" x14ac:dyDescent="0.25">
      <c r="A214" s="50" t="s">
        <v>271</v>
      </c>
      <c r="B214" s="51">
        <v>11727000</v>
      </c>
    </row>
    <row r="215" spans="1:2" x14ac:dyDescent="0.25">
      <c r="A215" s="50" t="s">
        <v>270</v>
      </c>
      <c r="B215" s="51">
        <f>19*7000</f>
        <v>133000</v>
      </c>
    </row>
    <row r="216" spans="1:2" x14ac:dyDescent="0.25">
      <c r="A216" s="50" t="s">
        <v>272</v>
      </c>
      <c r="B216" s="51">
        <v>500000</v>
      </c>
    </row>
    <row r="217" spans="1:2" x14ac:dyDescent="0.25">
      <c r="A217" s="50" t="s">
        <v>273</v>
      </c>
      <c r="B217" s="51">
        <v>240000</v>
      </c>
    </row>
    <row r="218" spans="1:2" x14ac:dyDescent="0.25">
      <c r="A218" s="50" t="s">
        <v>274</v>
      </c>
      <c r="B218" s="51">
        <v>75000</v>
      </c>
    </row>
    <row r="219" spans="1:2" x14ac:dyDescent="0.25">
      <c r="A219" s="50" t="s">
        <v>275</v>
      </c>
      <c r="B219" s="51">
        <v>150000</v>
      </c>
    </row>
    <row r="220" spans="1:2" x14ac:dyDescent="0.25">
      <c r="A220" s="50" t="s">
        <v>300</v>
      </c>
      <c r="B220" s="51">
        <v>83502300</v>
      </c>
    </row>
    <row r="221" spans="1:2" x14ac:dyDescent="0.25">
      <c r="B221" s="1"/>
    </row>
    <row r="222" spans="1:2" ht="18.75" x14ac:dyDescent="0.3">
      <c r="A222" s="19" t="s">
        <v>79</v>
      </c>
      <c r="B222" s="20">
        <f>SUM(B212:B213)</f>
        <v>109326011</v>
      </c>
    </row>
    <row r="223" spans="1:2" x14ac:dyDescent="0.25">
      <c r="A223" s="21"/>
      <c r="B223" s="24"/>
    </row>
    <row r="224" spans="1:2" ht="18.75" x14ac:dyDescent="0.3">
      <c r="A224" s="19" t="s">
        <v>83</v>
      </c>
      <c r="B224" s="20">
        <v>3000000</v>
      </c>
    </row>
    <row r="225" spans="1:2" x14ac:dyDescent="0.25">
      <c r="A225" s="21" t="s">
        <v>80</v>
      </c>
      <c r="B225" s="24">
        <v>3000000</v>
      </c>
    </row>
    <row r="226" spans="1:2" x14ac:dyDescent="0.25">
      <c r="A226" s="21"/>
      <c r="B226" s="24"/>
    </row>
    <row r="227" spans="1:2" ht="20.25" x14ac:dyDescent="0.3">
      <c r="A227" s="32" t="s">
        <v>81</v>
      </c>
      <c r="B227" s="33">
        <f>B224+B222</f>
        <v>112326011</v>
      </c>
    </row>
    <row r="228" spans="1:2" x14ac:dyDescent="0.25">
      <c r="A228" s="21"/>
      <c r="B228" s="24"/>
    </row>
    <row r="229" spans="1:2" ht="20.25" x14ac:dyDescent="0.3">
      <c r="A229" s="32" t="s">
        <v>84</v>
      </c>
      <c r="B229" s="33">
        <f>SUM(B230:B231)</f>
        <v>17633502</v>
      </c>
    </row>
    <row r="230" spans="1:2" x14ac:dyDescent="0.25">
      <c r="A230" s="21" t="s">
        <v>103</v>
      </c>
      <c r="B230" s="24">
        <v>17633502</v>
      </c>
    </row>
    <row r="231" spans="1:2" x14ac:dyDescent="0.25">
      <c r="A231" s="62" t="s">
        <v>203</v>
      </c>
      <c r="B231" s="53"/>
    </row>
    <row r="232" spans="1:2" x14ac:dyDescent="0.25">
      <c r="A232" s="62"/>
      <c r="B232" s="53"/>
    </row>
    <row r="233" spans="1:2" ht="20.25" x14ac:dyDescent="0.3">
      <c r="A233" s="32" t="s">
        <v>82</v>
      </c>
      <c r="B233" s="33">
        <f>B208+B227+B229</f>
        <v>297886334.56</v>
      </c>
    </row>
    <row r="239" spans="1:2" x14ac:dyDescent="0.25">
      <c r="B239" s="5"/>
    </row>
  </sheetData>
  <mergeCells count="1">
    <mergeCell ref="A1:B1"/>
  </mergeCells>
  <pageMargins left="0.7" right="0.7" top="0.75" bottom="0.75" header="0.3" footer="0.3"/>
  <pageSetup paperSize="9" scale="82" fitToHeight="0" orientation="portrait" r:id="rId1"/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zoomScaleNormal="100" workbookViewId="0">
      <selection activeCell="C6" sqref="C6"/>
    </sheetView>
  </sheetViews>
  <sheetFormatPr defaultRowHeight="18.75" x14ac:dyDescent="0.3"/>
  <cols>
    <col min="1" max="1" width="9.140625" style="69"/>
    <col min="2" max="2" width="37.85546875" style="69" bestFit="1" customWidth="1"/>
    <col min="3" max="3" width="23" style="70" bestFit="1" customWidth="1"/>
    <col min="4" max="6" width="9.140625" style="69"/>
    <col min="7" max="7" width="45" style="69" bestFit="1" customWidth="1"/>
    <col min="8" max="8" width="23" style="70" bestFit="1" customWidth="1"/>
    <col min="9" max="16384" width="9.140625" style="69"/>
  </cols>
  <sheetData>
    <row r="1" spans="2:8" ht="20.25" x14ac:dyDescent="0.3">
      <c r="B1" s="83" t="s">
        <v>214</v>
      </c>
      <c r="C1" s="83"/>
      <c r="D1" s="83"/>
      <c r="E1" s="83"/>
      <c r="F1" s="83"/>
      <c r="G1" s="83"/>
      <c r="H1" s="83"/>
    </row>
    <row r="2" spans="2:8" ht="20.25" x14ac:dyDescent="0.3">
      <c r="B2" s="75"/>
      <c r="C2" s="75"/>
      <c r="D2" s="75"/>
      <c r="E2" s="76" t="s">
        <v>215</v>
      </c>
      <c r="F2" s="75"/>
      <c r="G2" s="75"/>
      <c r="H2" s="75"/>
    </row>
    <row r="3" spans="2:8" s="71" customFormat="1" x14ac:dyDescent="0.3">
      <c r="B3" s="71" t="s">
        <v>204</v>
      </c>
      <c r="C3" s="72">
        <f>SUM(C4:C8)</f>
        <v>113734777.56</v>
      </c>
      <c r="G3" s="71" t="s">
        <v>10</v>
      </c>
      <c r="H3" s="72">
        <f>SUM(H4:H8)</f>
        <v>113549717</v>
      </c>
    </row>
    <row r="4" spans="2:8" x14ac:dyDescent="0.3">
      <c r="B4" s="69" t="s">
        <v>209</v>
      </c>
      <c r="C4" s="70">
        <f>Kiadások!B47</f>
        <v>25085590</v>
      </c>
      <c r="G4" s="69" t="s">
        <v>205</v>
      </c>
      <c r="H4" s="70">
        <v>47228809</v>
      </c>
    </row>
    <row r="5" spans="2:8" x14ac:dyDescent="0.3">
      <c r="B5" s="69" t="s">
        <v>36</v>
      </c>
      <c r="C5" s="70">
        <v>3871221.56</v>
      </c>
      <c r="G5" s="69" t="s">
        <v>7</v>
      </c>
      <c r="H5" s="70">
        <v>50000000</v>
      </c>
    </row>
    <row r="6" spans="2:8" x14ac:dyDescent="0.3">
      <c r="B6" s="69" t="s">
        <v>40</v>
      </c>
      <c r="C6" s="70">
        <f>Kiadások!B176</f>
        <v>31472532</v>
      </c>
      <c r="G6" s="69" t="s">
        <v>25</v>
      </c>
      <c r="H6" s="70">
        <v>6309712</v>
      </c>
    </row>
    <row r="7" spans="2:8" x14ac:dyDescent="0.3">
      <c r="B7" s="69" t="s">
        <v>210</v>
      </c>
      <c r="C7" s="70">
        <v>11985000</v>
      </c>
      <c r="G7" s="69" t="s">
        <v>8</v>
      </c>
      <c r="H7" s="70">
        <v>2715000</v>
      </c>
    </row>
    <row r="8" spans="2:8" x14ac:dyDescent="0.3">
      <c r="B8" s="69" t="s">
        <v>71</v>
      </c>
      <c r="C8" s="70">
        <v>41320434</v>
      </c>
      <c r="G8" s="69" t="s">
        <v>208</v>
      </c>
      <c r="H8" s="70">
        <f>6796196+500000</f>
        <v>7296196</v>
      </c>
    </row>
    <row r="11" spans="2:8" s="71" customFormat="1" x14ac:dyDescent="0.3">
      <c r="B11" s="71" t="s">
        <v>211</v>
      </c>
      <c r="C11" s="72">
        <v>124327300</v>
      </c>
      <c r="G11" s="71" t="s">
        <v>206</v>
      </c>
      <c r="H11" s="72">
        <v>121327300</v>
      </c>
    </row>
    <row r="13" spans="2:8" s="71" customFormat="1" x14ac:dyDescent="0.3">
      <c r="B13" s="71" t="s">
        <v>212</v>
      </c>
      <c r="C13" s="72">
        <f>Kiadások!B222</f>
        <v>35579052</v>
      </c>
      <c r="G13" s="71" t="s">
        <v>86</v>
      </c>
      <c r="H13" s="72">
        <v>37914113</v>
      </c>
    </row>
    <row r="15" spans="2:8" s="73" customFormat="1" ht="20.25" x14ac:dyDescent="0.3">
      <c r="B15" s="73" t="s">
        <v>213</v>
      </c>
      <c r="C15" s="74">
        <f>C13+C3+C11</f>
        <v>273641129.56</v>
      </c>
      <c r="G15" s="73" t="s">
        <v>207</v>
      </c>
      <c r="H15" s="74">
        <f>SUM(H13+H11+H3)</f>
        <v>272791130</v>
      </c>
    </row>
  </sheetData>
  <mergeCells count="1">
    <mergeCell ref="B1:H1"/>
  </mergeCells>
  <pageMargins left="0.7" right="0.7" top="0.75" bottom="0.75" header="0.3" footer="0.3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zoomScaleNormal="100" workbookViewId="0">
      <selection activeCell="H14" sqref="H14"/>
    </sheetView>
  </sheetViews>
  <sheetFormatPr defaultRowHeight="18.75" x14ac:dyDescent="0.3"/>
  <cols>
    <col min="1" max="1" width="9.140625" style="69"/>
    <col min="2" max="2" width="37.85546875" style="69" bestFit="1" customWidth="1"/>
    <col min="3" max="3" width="23" style="70" bestFit="1" customWidth="1"/>
    <col min="4" max="6" width="9.140625" style="69"/>
    <col min="7" max="7" width="45" style="69" bestFit="1" customWidth="1"/>
    <col min="8" max="8" width="23" style="70" bestFit="1" customWidth="1"/>
    <col min="9" max="16384" width="9.140625" style="69"/>
  </cols>
  <sheetData>
    <row r="1" spans="2:8" ht="20.25" x14ac:dyDescent="0.3">
      <c r="B1" s="83" t="s">
        <v>214</v>
      </c>
      <c r="C1" s="83"/>
      <c r="D1" s="83"/>
      <c r="E1" s="83"/>
      <c r="F1" s="83"/>
      <c r="G1" s="83"/>
      <c r="H1" s="83"/>
    </row>
    <row r="2" spans="2:8" ht="20.25" x14ac:dyDescent="0.3">
      <c r="B2" s="75"/>
      <c r="C2" s="75"/>
      <c r="D2" s="75"/>
      <c r="E2" s="76"/>
      <c r="F2" s="75"/>
      <c r="G2" s="75"/>
      <c r="H2" s="75"/>
    </row>
    <row r="3" spans="2:8" s="71" customFormat="1" x14ac:dyDescent="0.3">
      <c r="B3" s="71" t="s">
        <v>204</v>
      </c>
      <c r="C3" s="72">
        <f>SUM(C4:C9)</f>
        <v>167926821.56</v>
      </c>
      <c r="G3" s="71" t="s">
        <v>10</v>
      </c>
      <c r="H3" s="72">
        <f>SUM(H4:H8)</f>
        <v>160455068</v>
      </c>
    </row>
    <row r="4" spans="2:8" x14ac:dyDescent="0.3">
      <c r="B4" s="69" t="s">
        <v>209</v>
      </c>
      <c r="C4" s="70">
        <f>'Kiadások emelt összeggel'!B46</f>
        <v>31414742</v>
      </c>
      <c r="G4" s="69" t="s">
        <v>205</v>
      </c>
      <c r="H4" s="70">
        <f>Bevételek!B21</f>
        <v>51636021</v>
      </c>
    </row>
    <row r="5" spans="2:8" x14ac:dyDescent="0.3">
      <c r="B5" s="69" t="s">
        <v>36</v>
      </c>
      <c r="C5" s="70">
        <f>'Kiadások emelt összeggel'!B62</f>
        <v>4010158.56</v>
      </c>
      <c r="G5" s="69" t="s">
        <v>7</v>
      </c>
      <c r="H5" s="70">
        <v>75000000</v>
      </c>
    </row>
    <row r="6" spans="2:8" ht="37.5" x14ac:dyDescent="0.3">
      <c r="B6" s="69" t="s">
        <v>40</v>
      </c>
      <c r="C6" s="70">
        <f>'Kiadások emelt összeggel'!B171</f>
        <v>59585420</v>
      </c>
      <c r="G6" s="84" t="s">
        <v>25</v>
      </c>
      <c r="H6" s="70">
        <f>Bevételek!B29</f>
        <v>4617000</v>
      </c>
    </row>
    <row r="7" spans="2:8" x14ac:dyDescent="0.3">
      <c r="B7" s="69" t="s">
        <v>210</v>
      </c>
      <c r="C7" s="70">
        <f>'Kiadások emelt összeggel'!B188</f>
        <v>19858000</v>
      </c>
      <c r="G7" s="69" t="s">
        <v>8</v>
      </c>
      <c r="H7" s="70">
        <f>Bevételek!B34</f>
        <v>5485000</v>
      </c>
    </row>
    <row r="8" spans="2:8" x14ac:dyDescent="0.3">
      <c r="B8" s="69" t="s">
        <v>71</v>
      </c>
      <c r="C8" s="70">
        <f>'Kiadások emelt összeggel'!B203</f>
        <v>50715920</v>
      </c>
      <c r="G8" s="69" t="s">
        <v>298</v>
      </c>
      <c r="H8" s="70">
        <f>Bevételek!B25+Bevételek!B27+Bevételek!B39+Bevételek!B58+Bevételek!B62</f>
        <v>23717047</v>
      </c>
    </row>
    <row r="9" spans="2:8" x14ac:dyDescent="0.3">
      <c r="B9" s="69" t="s">
        <v>299</v>
      </c>
      <c r="C9" s="70">
        <f>'Kiadások emelt összeggel'!B205+'Kiadások emelt összeggel'!B206</f>
        <v>2342581</v>
      </c>
    </row>
    <row r="11" spans="2:8" s="71" customFormat="1" x14ac:dyDescent="0.3">
      <c r="B11" s="71" t="s">
        <v>211</v>
      </c>
      <c r="C11" s="72">
        <f>'Kiadások emelt összeggel'!B227</f>
        <v>112326011</v>
      </c>
      <c r="G11" s="71" t="s">
        <v>206</v>
      </c>
      <c r="H11" s="72">
        <v>96327300</v>
      </c>
    </row>
    <row r="13" spans="2:8" s="71" customFormat="1" x14ac:dyDescent="0.3">
      <c r="B13" s="71" t="s">
        <v>212</v>
      </c>
      <c r="C13" s="72">
        <f>'Kiadások emelt összeggel'!B229</f>
        <v>17633502</v>
      </c>
      <c r="G13" s="71" t="s">
        <v>86</v>
      </c>
      <c r="H13" s="72">
        <f>Bevételek!B67</f>
        <v>41103967</v>
      </c>
    </row>
    <row r="15" spans="2:8" s="73" customFormat="1" ht="20.25" x14ac:dyDescent="0.3">
      <c r="B15" s="73" t="s">
        <v>213</v>
      </c>
      <c r="C15" s="74">
        <f>C13+C3+C11</f>
        <v>297886334.56</v>
      </c>
      <c r="G15" s="73" t="s">
        <v>207</v>
      </c>
      <c r="H15" s="74">
        <f>SUM(H13+H11+H3)</f>
        <v>297886335</v>
      </c>
    </row>
  </sheetData>
  <mergeCells count="1">
    <mergeCell ref="B1:H1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Bevételek</vt:lpstr>
      <vt:lpstr>Kiadások</vt:lpstr>
      <vt:lpstr>Kiadások emelt összeggel</vt:lpstr>
      <vt:lpstr>Működés-felhalmozás</vt:lpstr>
      <vt:lpstr>Működés-felhalmozás emelt</vt:lpstr>
      <vt:lpstr>Bevételek!Nyomtatási_cím</vt:lpstr>
      <vt:lpstr>Kiadások!Nyomtatási_cím</vt:lpstr>
      <vt:lpstr>'Kiadások emelt összeggel'!Nyomtatási_terület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Kelemenné Dudás Bettina</dc:creator>
  <cp:lastModifiedBy>KDBETTI</cp:lastModifiedBy>
  <cp:lastPrinted>2022-02-15T08:05:56Z</cp:lastPrinted>
  <dcterms:created xsi:type="dcterms:W3CDTF">2016-01-26T13:11:42Z</dcterms:created>
  <dcterms:modified xsi:type="dcterms:W3CDTF">2022-02-15T08:06:16Z</dcterms:modified>
</cp:coreProperties>
</file>